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0" yWindow="65521" windowWidth="9360" windowHeight="11640" activeTab="0"/>
  </bookViews>
  <sheets>
    <sheet name="Saisie" sheetId="1" r:id="rId1"/>
    <sheet name="Calculs" sheetId="2" state="hidden" r:id="rId2"/>
    <sheet name="Base de données" sheetId="3" state="hidden" r:id="rId3"/>
  </sheets>
  <definedNames>
    <definedName name="IMPRESSION">'Saisie'!$A$1:$K$54</definedName>
    <definedName name="_xlnm.Print_Area" localSheetId="0">'Saisie'!$A$1:$K$53</definedName>
  </definedNames>
  <calcPr fullCalcOnLoad="1"/>
</workbook>
</file>

<file path=xl/sharedStrings.xml><?xml version="1.0" encoding="utf-8"?>
<sst xmlns="http://schemas.openxmlformats.org/spreadsheetml/2006/main" count="185" uniqueCount="131">
  <si>
    <t>Type de câble</t>
  </si>
  <si>
    <t>Poids du câble</t>
  </si>
  <si>
    <t>mm²</t>
  </si>
  <si>
    <t>[-]</t>
  </si>
  <si>
    <t>mm</t>
  </si>
  <si>
    <t>Tronçon</t>
  </si>
  <si>
    <t>Rayon</t>
  </si>
  <si>
    <t>Angle</t>
  </si>
  <si>
    <t>Pente</t>
  </si>
  <si>
    <t>Force</t>
  </si>
  <si>
    <t>[m]</t>
  </si>
  <si>
    <t>[°]</t>
  </si>
  <si>
    <t>[kp/m]</t>
  </si>
  <si>
    <t>Calculs</t>
  </si>
  <si>
    <t>Après</t>
  </si>
  <si>
    <t>Courbe</t>
  </si>
  <si>
    <t>à plat</t>
  </si>
  <si>
    <t>Compression</t>
  </si>
  <si>
    <t>Coeff. frott</t>
  </si>
  <si>
    <t/>
  </si>
  <si>
    <t>Recherche</t>
  </si>
  <si>
    <t>Traction</t>
  </si>
  <si>
    <t>Courbure minimum</t>
  </si>
  <si>
    <t>Tuyau</t>
  </si>
  <si>
    <t>Galets</t>
  </si>
  <si>
    <t>Type</t>
  </si>
  <si>
    <t>Mode de traction</t>
  </si>
  <si>
    <t>Type armure</t>
  </si>
  <si>
    <t>Type pose</t>
  </si>
  <si>
    <t>Rayon min.</t>
  </si>
  <si>
    <t>Traction adm.</t>
  </si>
  <si>
    <t>Max admissible</t>
  </si>
  <si>
    <t>Coefficient de frottement</t>
  </si>
  <si>
    <t>Gaine</t>
  </si>
  <si>
    <t>Coeff. frottement</t>
  </si>
  <si>
    <t>Définition pour la boite de dialogue</t>
  </si>
  <si>
    <t>Coefficient force de traction</t>
  </si>
  <si>
    <t>Entrée</t>
  </si>
  <si>
    <t>retour</t>
  </si>
  <si>
    <t>Pôle</t>
  </si>
  <si>
    <t>Cuivre</t>
  </si>
  <si>
    <t>Alumimium</t>
  </si>
  <si>
    <t>Type d'isolation</t>
  </si>
  <si>
    <t>XLPE</t>
  </si>
  <si>
    <t>EPR</t>
  </si>
  <si>
    <t>Papier</t>
  </si>
  <si>
    <t>T</t>
  </si>
  <si>
    <t>Armure</t>
  </si>
  <si>
    <t>Tension</t>
  </si>
  <si>
    <t>HT</t>
  </si>
  <si>
    <t>Diamètre</t>
  </si>
  <si>
    <t>BT</t>
  </si>
  <si>
    <t>Conducteur</t>
  </si>
  <si>
    <t>Aluminium</t>
  </si>
  <si>
    <t>Rayon de courbure</t>
  </si>
  <si>
    <t>Mono</t>
  </si>
  <si>
    <t>Triphasé</t>
  </si>
  <si>
    <t>X</t>
  </si>
  <si>
    <t>G</t>
  </si>
  <si>
    <t>P</t>
  </si>
  <si>
    <t>BT-mono</t>
  </si>
  <si>
    <t>Câble armé</t>
  </si>
  <si>
    <t>Gaine T</t>
  </si>
  <si>
    <t>BT-triphasé</t>
  </si>
  <si>
    <t>Gaine J</t>
  </si>
  <si>
    <t>HT-mono</t>
  </si>
  <si>
    <t>Armure simple</t>
  </si>
  <si>
    <t>HT-triphasé</t>
  </si>
  <si>
    <t>Armure double</t>
  </si>
  <si>
    <t>Section cond.</t>
  </si>
  <si>
    <t>ø du câble</t>
  </si>
  <si>
    <t>Gaine thermoplastique</t>
  </si>
  <si>
    <t>Gaine en jute</t>
  </si>
  <si>
    <t>entre</t>
  </si>
  <si>
    <t>et</t>
  </si>
  <si>
    <t>Pose</t>
  </si>
  <si>
    <t>xxx</t>
  </si>
  <si>
    <t>facteur</t>
  </si>
  <si>
    <t>Effort</t>
  </si>
  <si>
    <t>daN</t>
  </si>
  <si>
    <t>conducteur cuivre</t>
  </si>
  <si>
    <t>conducteur aluminium</t>
  </si>
  <si>
    <t>traction sur la gaine</t>
  </si>
  <si>
    <t>armure double</t>
  </si>
  <si>
    <t>armure simple</t>
  </si>
  <si>
    <t>Facteur</t>
  </si>
  <si>
    <t>Total</t>
  </si>
  <si>
    <t>R</t>
  </si>
  <si>
    <t>a</t>
  </si>
  <si>
    <t>L</t>
  </si>
  <si>
    <t>Langue :</t>
  </si>
  <si>
    <t>Sprache / Langue / Language</t>
  </si>
  <si>
    <t>kg/m</t>
  </si>
  <si>
    <t>kg</t>
  </si>
  <si>
    <t>[kg]</t>
  </si>
  <si>
    <t>Radius</t>
  </si>
  <si>
    <t>Benötigte Zugkraft für die Verlegung</t>
  </si>
  <si>
    <t>Firma</t>
  </si>
  <si>
    <t>Baustelle</t>
  </si>
  <si>
    <t>Kabeltyp</t>
  </si>
  <si>
    <t>Zusammensetzung einer Teillänge :</t>
  </si>
  <si>
    <t>Teil-</t>
  </si>
  <si>
    <t>länge</t>
  </si>
  <si>
    <t>Winkel</t>
  </si>
  <si>
    <t>Länge</t>
  </si>
  <si>
    <t>Höhendiff</t>
  </si>
  <si>
    <t>&lt;&gt;Reib.-</t>
  </si>
  <si>
    <t>koeff.</t>
  </si>
  <si>
    <t>Raupe</t>
  </si>
  <si>
    <t>Total-</t>
  </si>
  <si>
    <t>Radial-</t>
  </si>
  <si>
    <t>kraft</t>
  </si>
  <si>
    <t>Zugkraft</t>
  </si>
  <si>
    <t>Verlegeangaben :</t>
  </si>
  <si>
    <t>Kabelgewicht</t>
  </si>
  <si>
    <t>Leiterquerschnitt</t>
  </si>
  <si>
    <t>Anzahl Phasen</t>
  </si>
  <si>
    <t>Kabel-Aussendurchmesser</t>
  </si>
  <si>
    <t>Alg. Reibungskoeffizient</t>
  </si>
  <si>
    <t>Benötigte Abrollkraft</t>
  </si>
  <si>
    <t>Kabellänge</t>
  </si>
  <si>
    <t>Kurve</t>
  </si>
  <si>
    <t>gerade</t>
  </si>
  <si>
    <t>Hang</t>
  </si>
  <si>
    <t>Benötigte Zugkraft</t>
  </si>
  <si>
    <t>Maximal zulässige Zugkraft</t>
  </si>
  <si>
    <t>Maximale Radial-Druckkraft</t>
  </si>
  <si>
    <t>Auf der Teillänge Nr.</t>
  </si>
  <si>
    <t>Max. zulässige Radialkraft für die vorgesehene Verlegeart</t>
  </si>
  <si>
    <t>Der kleinste Biegeradius beträgt</t>
  </si>
  <si>
    <t>Der kleinst statisch zul. Radius für diesen kabeltyp ist</t>
  </si>
</sst>
</file>

<file path=xl/styles.xml><?xml version="1.0" encoding="utf-8"?>
<styleSheet xmlns="http://schemas.openxmlformats.org/spreadsheetml/2006/main">
  <numFmts count="3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\$#,##0\ ;\(\$#,##0\)"/>
    <numFmt numFmtId="179" formatCode="\$#,##0\ ;[Red]\(\$#,##0\)"/>
    <numFmt numFmtId="180" formatCode="\$#,##0.00\ ;\(\$#,##0.00\)"/>
    <numFmt numFmtId="181" formatCode="\$#,##0.00\ ;[Red]\(\$#,##0.00\)"/>
    <numFmt numFmtId="182" formatCode="m/d/yy"/>
    <numFmt numFmtId="183" formatCode="d\-mmm\-yy"/>
    <numFmt numFmtId="184" formatCode="d\-mmm"/>
    <numFmt numFmtId="185" formatCode="h:mm"/>
    <numFmt numFmtId="186" formatCode="h:mm:ss"/>
    <numFmt numFmtId="187" formatCode="m/d/yy\ h:mm"/>
    <numFmt numFmtId="188" formatCode="m/d"/>
    <numFmt numFmtId="189" formatCode="0.0"/>
    <numFmt numFmtId="190" formatCode="0.00000"/>
    <numFmt numFmtId="191" formatCode="0.000"/>
    <numFmt numFmtId="192" formatCode="#,##0.0"/>
  </numFmts>
  <fonts count="10">
    <font>
      <sz val="12"/>
      <name val="Arial"/>
      <family val="2"/>
    </font>
    <font>
      <sz val="18"/>
      <color indexed="24"/>
      <name val="Arial"/>
      <family val="0"/>
    </font>
    <font>
      <sz val="8"/>
      <color indexed="24"/>
      <name val="Arial"/>
      <family val="0"/>
    </font>
    <font>
      <u val="single"/>
      <sz val="16"/>
      <color indexed="24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b/>
      <sz val="18"/>
      <name val="Arial"/>
      <family val="2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" fillId="2" borderId="0" applyNumberFormat="0" applyBorder="0" applyAlignment="0">
      <protection locked="0"/>
    </xf>
    <xf numFmtId="0" fontId="0" fillId="0" borderId="1" applyNumberFormat="0" applyFont="0" applyFill="0" applyAlignment="0" applyProtection="0"/>
    <xf numFmtId="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89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89" fontId="4" fillId="0" borderId="13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4" xfId="0" applyFont="1" applyBorder="1" applyAlignment="1">
      <alignment/>
    </xf>
    <xf numFmtId="189" fontId="4" fillId="0" borderId="6" xfId="0" applyNumberFormat="1" applyFont="1" applyBorder="1" applyAlignment="1">
      <alignment/>
    </xf>
    <xf numFmtId="189" fontId="4" fillId="0" borderId="8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190" fontId="4" fillId="0" borderId="0" xfId="0" applyNumberFormat="1" applyFont="1" applyAlignment="1">
      <alignment/>
    </xf>
    <xf numFmtId="0" fontId="4" fillId="0" borderId="3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2" fontId="4" fillId="0" borderId="19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21" applyFont="1" applyFill="1" applyBorder="1" applyAlignment="1">
      <alignment/>
      <protection locked="0"/>
    </xf>
    <xf numFmtId="2" fontId="4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 horizontal="right"/>
    </xf>
    <xf numFmtId="0" fontId="0" fillId="0" borderId="3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 horizontal="centerContinuous"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2" fontId="4" fillId="0" borderId="4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2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189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1" fontId="6" fillId="0" borderId="11" xfId="0" applyNumberFormat="1" applyFont="1" applyBorder="1" applyAlignment="1">
      <alignment/>
    </xf>
    <xf numFmtId="0" fontId="4" fillId="0" borderId="12" xfId="0" applyFont="1" applyBorder="1" applyAlignment="1">
      <alignment horizontal="centerContinuous"/>
    </xf>
    <xf numFmtId="0" fontId="6" fillId="0" borderId="11" xfId="0" applyFont="1" applyBorder="1" applyAlignment="1">
      <alignment/>
    </xf>
    <xf numFmtId="0" fontId="5" fillId="3" borderId="0" xfId="21" applyFont="1" applyFill="1" applyAlignment="1">
      <alignment/>
      <protection locked="0"/>
    </xf>
    <xf numFmtId="189" fontId="4" fillId="3" borderId="21" xfId="21" applyNumberFormat="1" applyFont="1" applyFill="1" applyBorder="1" applyAlignment="1">
      <alignment/>
      <protection locked="0"/>
    </xf>
    <xf numFmtId="191" fontId="4" fillId="3" borderId="23" xfId="21" applyNumberFormat="1" applyFont="1" applyFill="1" applyBorder="1" applyAlignment="1">
      <alignment/>
      <protection locked="0"/>
    </xf>
    <xf numFmtId="0" fontId="4" fillId="3" borderId="0" xfId="21" applyFont="1" applyFill="1" applyAlignment="1">
      <alignment/>
      <protection locked="0"/>
    </xf>
    <xf numFmtId="189" fontId="4" fillId="3" borderId="23" xfId="21" applyNumberFormat="1" applyFont="1" applyFill="1" applyBorder="1" applyAlignment="1">
      <alignment/>
      <protection locked="0"/>
    </xf>
    <xf numFmtId="0" fontId="4" fillId="3" borderId="3" xfId="21" applyFont="1" applyFill="1" applyBorder="1" applyAlignment="1">
      <alignment/>
      <protection locked="0"/>
    </xf>
    <xf numFmtId="2" fontId="4" fillId="3" borderId="0" xfId="21" applyNumberFormat="1" applyFont="1" applyFill="1" applyAlignment="1">
      <alignment/>
      <protection locked="0"/>
    </xf>
    <xf numFmtId="0" fontId="4" fillId="3" borderId="24" xfId="21" applyFont="1" applyFill="1" applyBorder="1" applyAlignment="1">
      <alignment/>
      <protection locked="0"/>
    </xf>
    <xf numFmtId="191" fontId="4" fillId="3" borderId="5" xfId="21" applyNumberFormat="1" applyFont="1" applyFill="1" applyBorder="1" applyAlignment="1">
      <alignment/>
      <protection locked="0"/>
    </xf>
    <xf numFmtId="0" fontId="4" fillId="3" borderId="6" xfId="21" applyFont="1" applyFill="1" applyBorder="1" applyAlignment="1">
      <alignment/>
      <protection locked="0"/>
    </xf>
    <xf numFmtId="189" fontId="4" fillId="3" borderId="5" xfId="21" applyNumberFormat="1" applyFont="1" applyFill="1" applyBorder="1" applyAlignment="1">
      <alignment/>
      <protection locked="0"/>
    </xf>
    <xf numFmtId="0" fontId="4" fillId="3" borderId="7" xfId="21" applyFont="1" applyFill="1" applyBorder="1" applyAlignment="1">
      <alignment/>
      <protection locked="0"/>
    </xf>
    <xf numFmtId="2" fontId="4" fillId="3" borderId="6" xfId="21" applyNumberFormat="1" applyFont="1" applyFill="1" applyBorder="1" applyAlignment="1">
      <alignment/>
      <protection locked="0"/>
    </xf>
    <xf numFmtId="0" fontId="4" fillId="3" borderId="20" xfId="21" applyFont="1" applyFill="1" applyBorder="1" applyAlignment="1">
      <alignment/>
      <protection locked="0"/>
    </xf>
    <xf numFmtId="0" fontId="0" fillId="0" borderId="0" xfId="0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192" fontId="6" fillId="0" borderId="14" xfId="0" applyNumberFormat="1" applyFont="1" applyBorder="1" applyAlignment="1">
      <alignment/>
    </xf>
    <xf numFmtId="192" fontId="6" fillId="0" borderId="14" xfId="0" applyNumberFormat="1" applyFont="1" applyBorder="1" applyAlignment="1">
      <alignment horizontal="right"/>
    </xf>
    <xf numFmtId="192" fontId="6" fillId="0" borderId="0" xfId="0" applyNumberFormat="1" applyFont="1" applyAlignment="1">
      <alignment horizontal="right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11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6" fillId="0" borderId="0" xfId="0" applyNumberFormat="1" applyFont="1" applyAlignment="1">
      <alignment horizontal="right"/>
    </xf>
    <xf numFmtId="192" fontId="6" fillId="0" borderId="0" xfId="0" applyNumberFormat="1" applyFont="1" applyBorder="1" applyAlignment="1">
      <alignment horizontal="right"/>
    </xf>
    <xf numFmtId="192" fontId="6" fillId="0" borderId="11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</cellXfs>
  <cellStyles count="10">
    <cellStyle name="Normal" xfId="0"/>
    <cellStyle name="Date" xfId="15"/>
    <cellStyle name="Financier0" xfId="16"/>
    <cellStyle name="Comma" xfId="17"/>
    <cellStyle name="Currency" xfId="18"/>
    <cellStyle name="Monétaire0" xfId="19"/>
    <cellStyle name="Percent" xfId="20"/>
    <cellStyle name="Saisie" xfId="21"/>
    <cellStyle name="Total" xfId="22"/>
    <cellStyle name="Virgule fix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4.jpeg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171450</xdr:colOff>
      <xdr:row>7</xdr:row>
      <xdr:rowOff>0</xdr:rowOff>
    </xdr:from>
    <xdr:to>
      <xdr:col>14</xdr:col>
      <xdr:colOff>571500</xdr:colOff>
      <xdr:row>9</xdr:row>
      <xdr:rowOff>0</xdr:rowOff>
    </xdr:to>
    <xdr:pic>
      <xdr:nvPicPr>
        <xdr:cNvPr id="1" name="DefPo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428750"/>
          <a:ext cx="1905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4</xdr:row>
      <xdr:rowOff>28575</xdr:rowOff>
    </xdr:from>
    <xdr:to>
      <xdr:col>14</xdr:col>
      <xdr:colOff>590550</xdr:colOff>
      <xdr:row>5</xdr:row>
      <xdr:rowOff>123825</xdr:rowOff>
    </xdr:to>
    <xdr:pic>
      <xdr:nvPicPr>
        <xdr:cNvPr id="2" name="L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914400"/>
          <a:ext cx="19240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4</xdr:col>
      <xdr:colOff>85725</xdr:colOff>
      <xdr:row>15</xdr:row>
      <xdr:rowOff>76200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1600200"/>
          <a:ext cx="182880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12</xdr:col>
      <xdr:colOff>676275</xdr:colOff>
      <xdr:row>10</xdr:row>
      <xdr:rowOff>9525</xdr:rowOff>
    </xdr:from>
    <xdr:to>
      <xdr:col>14</xdr:col>
      <xdr:colOff>180975</xdr:colOff>
      <xdr:row>12</xdr:row>
      <xdr:rowOff>47625</xdr:rowOff>
    </xdr:to>
    <xdr:pic>
      <xdr:nvPicPr>
        <xdr:cNvPr id="4" name="Ai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67675" y="1952625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J53"/>
  <sheetViews>
    <sheetView tabSelected="1" zoomScale="80" zoomScaleNormal="80" workbookViewId="0" topLeftCell="A1">
      <selection activeCell="L24" sqref="L24"/>
    </sheetView>
  </sheetViews>
  <sheetFormatPr defaultColWidth="11.5546875" defaultRowHeight="15"/>
  <cols>
    <col min="1" max="1" width="5.77734375" style="0" customWidth="1"/>
    <col min="2" max="2" width="7.77734375" style="0" customWidth="1"/>
    <col min="3" max="3" width="5.77734375" style="0" customWidth="1"/>
    <col min="4" max="7" width="6.77734375" style="0" customWidth="1"/>
    <col min="8" max="8" width="3.77734375" style="0" customWidth="1"/>
    <col min="9" max="9" width="8.77734375" style="0" customWidth="1"/>
    <col min="10" max="10" width="7.4453125" style="0" customWidth="1"/>
    <col min="11" max="11" width="7.3359375" style="0" customWidth="1"/>
    <col min="12" max="12" width="12.4453125" style="0" customWidth="1"/>
    <col min="13" max="16" width="8.77734375" style="0" customWidth="1"/>
    <col min="17" max="16384" width="12.4453125" style="0" customWidth="1"/>
  </cols>
  <sheetData>
    <row r="1" spans="1:17" ht="23.25">
      <c r="A1" s="112" t="s">
        <v>96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"/>
      <c r="M1" s="2"/>
      <c r="N1" s="2"/>
      <c r="O1" s="2"/>
      <c r="P1" s="2"/>
      <c r="Q1" s="2"/>
    </row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>
      <c r="A3" s="113" t="s">
        <v>97</v>
      </c>
      <c r="B3" s="2"/>
      <c r="C3" s="2"/>
      <c r="D3" s="75"/>
      <c r="E3" s="75"/>
      <c r="F3" s="75"/>
      <c r="G3" s="75"/>
      <c r="H3" s="75"/>
      <c r="I3" s="75"/>
      <c r="J3" s="75"/>
      <c r="K3" s="75"/>
      <c r="L3" s="2"/>
      <c r="M3" s="2"/>
      <c r="N3" s="2"/>
      <c r="O3" s="2"/>
      <c r="P3" s="2"/>
      <c r="Q3" s="2"/>
    </row>
    <row r="4" spans="1:17" ht="15.75">
      <c r="A4" s="113" t="s">
        <v>98</v>
      </c>
      <c r="B4" s="2"/>
      <c r="C4" s="2"/>
      <c r="D4" s="75"/>
      <c r="E4" s="75"/>
      <c r="F4" s="75"/>
      <c r="G4" s="75"/>
      <c r="H4" s="75"/>
      <c r="I4" s="75"/>
      <c r="J4" s="75"/>
      <c r="K4" s="75"/>
      <c r="L4" s="2"/>
      <c r="M4" s="2"/>
      <c r="N4" s="95" t="s">
        <v>91</v>
      </c>
      <c r="O4" s="2"/>
      <c r="P4" s="2"/>
      <c r="Q4" s="2"/>
    </row>
    <row r="5" spans="1:17" ht="15.75">
      <c r="A5" s="114" t="s">
        <v>99</v>
      </c>
      <c r="B5" s="3"/>
      <c r="C5" s="2"/>
      <c r="D5" s="75"/>
      <c r="E5" s="75"/>
      <c r="F5" s="75"/>
      <c r="G5" s="75"/>
      <c r="H5" s="75"/>
      <c r="I5" s="75"/>
      <c r="J5" s="75"/>
      <c r="K5" s="75"/>
      <c r="L5" s="2"/>
      <c r="M5" s="2"/>
      <c r="N5" s="2"/>
      <c r="O5" s="2"/>
      <c r="P5" s="2"/>
      <c r="Q5" s="2"/>
    </row>
    <row r="6" spans="1:17" ht="13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3.5" customHeight="1">
      <c r="A7" s="115" t="s">
        <v>100</v>
      </c>
      <c r="B7" s="2"/>
      <c r="C7" s="2"/>
      <c r="D7" s="2"/>
      <c r="E7" s="2"/>
      <c r="F7" s="2"/>
      <c r="G7" s="115" t="s">
        <v>113</v>
      </c>
      <c r="L7" s="2"/>
      <c r="M7" s="2"/>
      <c r="N7" s="2"/>
      <c r="O7" s="2"/>
      <c r="P7" s="2"/>
      <c r="Q7" s="2"/>
    </row>
    <row r="8" spans="1:17" ht="13.5" customHeight="1">
      <c r="A8" s="2"/>
      <c r="B8" s="2"/>
      <c r="C8" s="2"/>
      <c r="D8" s="2"/>
      <c r="E8" s="2"/>
      <c r="F8" s="2"/>
      <c r="L8" s="2"/>
      <c r="M8" s="2"/>
      <c r="N8" s="2"/>
      <c r="O8" s="2"/>
      <c r="P8" s="2"/>
      <c r="Q8" s="2"/>
    </row>
    <row r="9" spans="1:17" ht="13.5" customHeight="1">
      <c r="A9" s="27"/>
      <c r="B9" s="27"/>
      <c r="C9" s="27"/>
      <c r="D9" s="27"/>
      <c r="E9" s="27"/>
      <c r="F9" s="27"/>
      <c r="H9" s="3"/>
      <c r="I9" s="128" t="s">
        <v>114</v>
      </c>
      <c r="J9" s="47">
        <f>'Base de données'!D23</f>
        <v>0</v>
      </c>
      <c r="K9" s="27" t="s">
        <v>92</v>
      </c>
      <c r="L9" s="2"/>
      <c r="M9" s="2"/>
      <c r="N9" s="2"/>
      <c r="O9" s="2"/>
      <c r="P9" s="2"/>
      <c r="Q9" s="2"/>
    </row>
    <row r="10" spans="1:17" ht="13.5" customHeight="1">
      <c r="A10" s="27"/>
      <c r="B10" s="27"/>
      <c r="C10" s="27"/>
      <c r="D10" s="27"/>
      <c r="E10" s="27"/>
      <c r="F10" s="27"/>
      <c r="H10" s="3"/>
      <c r="I10" s="128" t="s">
        <v>115</v>
      </c>
      <c r="J10" s="47">
        <f>'Base de données'!D22</f>
        <v>0</v>
      </c>
      <c r="K10" s="27" t="s">
        <v>2</v>
      </c>
      <c r="L10" s="2"/>
      <c r="M10" s="2"/>
      <c r="N10" s="2"/>
      <c r="O10" s="2"/>
      <c r="P10" s="2"/>
      <c r="Q10" s="2"/>
    </row>
    <row r="11" spans="1:17" ht="13.5" customHeight="1">
      <c r="A11" s="27"/>
      <c r="B11" s="27"/>
      <c r="C11" s="27"/>
      <c r="D11" s="27"/>
      <c r="E11" s="27"/>
      <c r="F11" s="27"/>
      <c r="H11" s="3"/>
      <c r="I11" s="128" t="s">
        <v>116</v>
      </c>
      <c r="J11" s="47">
        <f>'Base de données'!D15</f>
        <v>0</v>
      </c>
      <c r="K11" s="27" t="s">
        <v>3</v>
      </c>
      <c r="L11" s="2"/>
      <c r="M11" s="2"/>
      <c r="N11" s="2"/>
      <c r="O11" s="2"/>
      <c r="P11" s="2"/>
      <c r="Q11" s="2"/>
    </row>
    <row r="12" spans="1:17" ht="13.5" customHeight="1">
      <c r="A12" s="27"/>
      <c r="B12" s="27"/>
      <c r="C12" s="27"/>
      <c r="D12" s="27"/>
      <c r="E12" s="27"/>
      <c r="F12" s="27"/>
      <c r="H12" s="3"/>
      <c r="I12" s="128" t="s">
        <v>117</v>
      </c>
      <c r="J12" s="47">
        <f>'Base de données'!D24</f>
        <v>0</v>
      </c>
      <c r="K12" s="27" t="s">
        <v>4</v>
      </c>
      <c r="L12" s="2"/>
      <c r="M12" s="2"/>
      <c r="N12" s="2"/>
      <c r="O12" s="2"/>
      <c r="P12" s="2"/>
      <c r="Q12" s="2"/>
    </row>
    <row r="13" spans="2:17" ht="13.5" customHeight="1">
      <c r="B13" s="27"/>
      <c r="C13" s="27"/>
      <c r="D13" s="27"/>
      <c r="E13" s="27"/>
      <c r="F13" s="27"/>
      <c r="J13" s="52" t="e">
        <f>VLOOKUP('Base de données'!D27,'Base de données'!H27:O32,8)</f>
        <v>#N/A</v>
      </c>
      <c r="L13" s="2"/>
      <c r="M13" s="2"/>
      <c r="N13" s="2"/>
      <c r="O13" s="2"/>
      <c r="P13" s="2"/>
      <c r="Q13" s="2"/>
    </row>
    <row r="14" spans="1:17" ht="13.5" customHeight="1">
      <c r="A14" s="27"/>
      <c r="B14" s="27"/>
      <c r="C14" s="27"/>
      <c r="D14" s="27"/>
      <c r="E14" s="27"/>
      <c r="F14" s="27"/>
      <c r="H14" s="27"/>
      <c r="I14" s="42"/>
      <c r="J14" s="52" t="e">
        <f>VLOOKUP('Base de données'!D28,'Base de données'!H38:I41,2)</f>
        <v>#N/A</v>
      </c>
      <c r="K14" s="27"/>
      <c r="L14" s="2"/>
      <c r="M14" s="2"/>
      <c r="N14" s="2"/>
      <c r="O14" s="2"/>
      <c r="P14" s="2"/>
      <c r="Q14" s="2"/>
    </row>
    <row r="15" spans="1:17" ht="13.5" customHeight="1">
      <c r="A15" s="27"/>
      <c r="B15" s="27"/>
      <c r="C15" s="27"/>
      <c r="D15" s="27"/>
      <c r="E15" s="27"/>
      <c r="F15" s="27"/>
      <c r="L15" s="2"/>
      <c r="M15" s="2"/>
      <c r="N15" s="2"/>
      <c r="O15" s="2"/>
      <c r="P15" s="2"/>
      <c r="Q15" s="2"/>
    </row>
    <row r="16" spans="2:17" ht="13.5" customHeight="1">
      <c r="B16" s="27"/>
      <c r="C16" s="27"/>
      <c r="D16" s="27"/>
      <c r="E16" s="27"/>
      <c r="F16" s="27"/>
      <c r="H16" s="3"/>
      <c r="I16" s="128" t="s">
        <v>118</v>
      </c>
      <c r="J16" s="136" t="e">
        <f>Calculs!B53</f>
        <v>#N/A</v>
      </c>
      <c r="K16" s="27" t="s">
        <v>3</v>
      </c>
      <c r="L16" s="2"/>
      <c r="M16" s="2"/>
      <c r="N16" s="2"/>
      <c r="O16" s="2"/>
      <c r="P16" s="2"/>
      <c r="Q16" s="2"/>
    </row>
    <row r="17" spans="1:17" ht="13.5" customHeight="1" thickBot="1">
      <c r="A17" s="115"/>
      <c r="B17" s="27"/>
      <c r="C17" s="27"/>
      <c r="D17" s="27"/>
      <c r="E17" s="27"/>
      <c r="F17" s="27"/>
      <c r="H17" s="3"/>
      <c r="I17" s="42"/>
      <c r="J17" s="47"/>
      <c r="K17" s="27"/>
      <c r="L17" s="2"/>
      <c r="M17" s="2"/>
      <c r="N17" s="2"/>
      <c r="O17" s="2"/>
      <c r="P17" s="2"/>
      <c r="Q17" s="2"/>
    </row>
    <row r="18" spans="1:17" ht="13.5" customHeight="1" thickTop="1">
      <c r="A18" s="116" t="s">
        <v>101</v>
      </c>
      <c r="B18" s="118" t="s">
        <v>95</v>
      </c>
      <c r="C18" s="119" t="s">
        <v>103</v>
      </c>
      <c r="D18" s="118" t="s">
        <v>104</v>
      </c>
      <c r="E18" s="120" t="s">
        <v>105</v>
      </c>
      <c r="F18" s="119" t="s">
        <v>106</v>
      </c>
      <c r="G18" s="122" t="s">
        <v>108</v>
      </c>
      <c r="H18" s="34"/>
      <c r="I18" s="116" t="s">
        <v>109</v>
      </c>
      <c r="J18" s="119" t="s">
        <v>110</v>
      </c>
      <c r="K18" s="124" t="s">
        <v>112</v>
      </c>
      <c r="L18" s="91"/>
      <c r="M18" s="2"/>
      <c r="N18" s="2"/>
      <c r="O18" s="2"/>
      <c r="P18" s="2"/>
      <c r="Q18" s="2"/>
    </row>
    <row r="19" spans="1:17" ht="13.5" customHeight="1" thickBot="1">
      <c r="A19" s="117" t="s">
        <v>102</v>
      </c>
      <c r="B19" s="92" t="s">
        <v>87</v>
      </c>
      <c r="C19" s="93" t="s">
        <v>88</v>
      </c>
      <c r="D19" s="92" t="s">
        <v>89</v>
      </c>
      <c r="E19" s="94"/>
      <c r="F19" s="121" t="s">
        <v>107</v>
      </c>
      <c r="G19" s="123"/>
      <c r="H19" s="34"/>
      <c r="I19" s="117" t="s">
        <v>102</v>
      </c>
      <c r="J19" s="121" t="s">
        <v>111</v>
      </c>
      <c r="K19" s="125"/>
      <c r="L19" s="91"/>
      <c r="M19" s="2"/>
      <c r="N19" s="2"/>
      <c r="O19" s="2"/>
      <c r="P19" s="2"/>
      <c r="Q19" s="2"/>
    </row>
    <row r="20" spans="1:17" ht="13.5" customHeight="1" thickBot="1">
      <c r="A20" s="6"/>
      <c r="B20" s="7" t="s">
        <v>10</v>
      </c>
      <c r="C20" s="8" t="s">
        <v>11</v>
      </c>
      <c r="D20" s="7" t="s">
        <v>10</v>
      </c>
      <c r="E20" s="9" t="s">
        <v>10</v>
      </c>
      <c r="F20" s="8" t="s">
        <v>3</v>
      </c>
      <c r="G20" s="39" t="s">
        <v>94</v>
      </c>
      <c r="H20" s="35"/>
      <c r="I20" s="38"/>
      <c r="J20" s="8" t="s">
        <v>12</v>
      </c>
      <c r="K20" s="10" t="s">
        <v>94</v>
      </c>
      <c r="L20" s="91"/>
      <c r="M20" s="126" t="s">
        <v>120</v>
      </c>
      <c r="N20" s="29"/>
      <c r="O20" s="29"/>
      <c r="P20" s="30"/>
      <c r="Q20" s="2"/>
    </row>
    <row r="21" spans="1:17" ht="13.5" customHeight="1" thickBot="1" thickTop="1">
      <c r="A21" s="11"/>
      <c r="B21" s="12"/>
      <c r="C21" s="13"/>
      <c r="D21" s="13"/>
      <c r="E21" s="13"/>
      <c r="F21" s="13"/>
      <c r="G21" s="40"/>
      <c r="H21" s="34"/>
      <c r="I21" s="41"/>
      <c r="J21" s="129" t="s">
        <v>119</v>
      </c>
      <c r="K21" s="76"/>
      <c r="L21" s="91"/>
      <c r="M21" s="127" t="s">
        <v>121</v>
      </c>
      <c r="N21" s="127" t="s">
        <v>122</v>
      </c>
      <c r="O21" s="127" t="s">
        <v>123</v>
      </c>
      <c r="P21" s="127" t="s">
        <v>86</v>
      </c>
      <c r="Q21" s="2"/>
    </row>
    <row r="22" spans="1:17" ht="13.5" customHeight="1">
      <c r="A22" s="4">
        <v>1</v>
      </c>
      <c r="B22" s="77"/>
      <c r="C22" s="78"/>
      <c r="D22" s="79"/>
      <c r="E22" s="80"/>
      <c r="F22" s="81"/>
      <c r="G22" s="82"/>
      <c r="H22" s="36"/>
      <c r="I22" s="37">
        <f>IF(AND(ISBLANK(B22),ISBLANK(C22),ISBLANK(D22),ISBLANK(E22)),"",P22)</f>
      </c>
      <c r="J22" s="15">
        <f>IF(AND(B22&lt;&gt;0,C22&lt;&gt;0),(Calculs!E8*SIN(RADIANS(C22)/2)/(B22*PI()*(C22/360))),"")</f>
      </c>
      <c r="K22" s="17">
        <f>IF(AND(AND(B22=0,C22=0),D22=0),"",Calculs!K8)</f>
      </c>
      <c r="L22" s="91"/>
      <c r="M22" s="31">
        <f>(PI()*2*B22*C22)/360</f>
        <v>0</v>
      </c>
      <c r="N22" s="31">
        <f aca="true" t="shared" si="0" ref="N22:N41">D22</f>
        <v>0</v>
      </c>
      <c r="O22" s="31">
        <f>IF(E22&lt;&gt;0,SQRT(D22^2+E22^2),0)</f>
        <v>0</v>
      </c>
      <c r="P22" s="31">
        <f>IF(O22&lt;&gt;0,M22+O22,M22+N22)</f>
        <v>0</v>
      </c>
      <c r="Q22" s="2"/>
    </row>
    <row r="23" spans="1:17" ht="13.5" customHeight="1">
      <c r="A23" s="4">
        <v>2</v>
      </c>
      <c r="B23" s="77"/>
      <c r="C23" s="78"/>
      <c r="D23" s="79"/>
      <c r="E23" s="80"/>
      <c r="F23" s="81"/>
      <c r="G23" s="82"/>
      <c r="H23" s="36"/>
      <c r="I23" s="37">
        <f aca="true" t="shared" si="1" ref="I23:I35">IF(AND(ISBLANK(B23),ISBLANK(C23),ISBLANK(D23),ISBLANK(E23)),"",P23)</f>
      </c>
      <c r="J23" s="15">
        <f>IF(AND(B23&lt;&gt;0,C23&lt;&gt;0),(Calculs!E9*SIN(RADIANS(C23)/2)/(B23*PI()*(C23/360))),"")</f>
      </c>
      <c r="K23" s="17">
        <f>IF(AND(AND(B23=0,C23=0),D23=0),"",Calculs!I9-G23)</f>
      </c>
      <c r="L23" s="91"/>
      <c r="M23" s="31">
        <f aca="true" t="shared" si="2" ref="M23:M37">(PI()*2*B23*C23)/360</f>
        <v>0</v>
      </c>
      <c r="N23" s="31">
        <f t="shared" si="0"/>
        <v>0</v>
      </c>
      <c r="O23" s="31">
        <f>IF(E23&lt;&gt;0,SQRT(D23^2+E23^2),0)</f>
        <v>0</v>
      </c>
      <c r="P23" s="31">
        <f>IF(O23&lt;&gt;0,M23+O23+P22,M23+N23+P22)</f>
        <v>0</v>
      </c>
      <c r="Q23" s="2"/>
    </row>
    <row r="24" spans="1:17" ht="13.5" customHeight="1">
      <c r="A24" s="4">
        <v>3</v>
      </c>
      <c r="B24" s="77"/>
      <c r="C24" s="78"/>
      <c r="D24" s="79"/>
      <c r="E24" s="80"/>
      <c r="F24" s="81"/>
      <c r="G24" s="82"/>
      <c r="H24" s="36"/>
      <c r="I24" s="37">
        <f t="shared" si="1"/>
      </c>
      <c r="J24" s="15">
        <f>IF(AND(B24&lt;&gt;0,C24&lt;&gt;0),(Calculs!E10*SIN(RADIANS(C24)/2)/(B24*PI()*(C24/360))),"")</f>
      </c>
      <c r="K24" s="17">
        <f>IF(AND(AND(B24=0,C24=0),D24=0),"",Calculs!I10-G24)</f>
      </c>
      <c r="L24" s="91"/>
      <c r="M24" s="31">
        <f t="shared" si="2"/>
        <v>0</v>
      </c>
      <c r="N24" s="31">
        <f t="shared" si="0"/>
        <v>0</v>
      </c>
      <c r="O24" s="31">
        <f aca="true" t="shared" si="3" ref="O24:O39">IF(E24&lt;&gt;0,SQRT(D24^2+E24^2),0)</f>
        <v>0</v>
      </c>
      <c r="P24" s="31">
        <f aca="true" t="shared" si="4" ref="P24:P39">IF(O24&lt;&gt;0,M24+O24+P23,M24+N24+P23)</f>
        <v>0</v>
      </c>
      <c r="Q24" s="2"/>
    </row>
    <row r="25" spans="1:17" ht="13.5" customHeight="1">
      <c r="A25" s="4">
        <v>4</v>
      </c>
      <c r="B25" s="77"/>
      <c r="C25" s="78"/>
      <c r="D25" s="79"/>
      <c r="E25" s="80"/>
      <c r="F25" s="81"/>
      <c r="G25" s="82"/>
      <c r="H25" s="36"/>
      <c r="I25" s="37">
        <f t="shared" si="1"/>
      </c>
      <c r="J25" s="15">
        <f>IF(AND(B25&lt;&gt;0,C25&lt;&gt;0),(Calculs!E11*SIN(RADIANS(C25)/2)/(B25*PI()*(C25/360))),"")</f>
      </c>
      <c r="K25" s="17">
        <f>IF(AND(AND(B25=0,C25=0),D25=0),"",Calculs!I11-G25)</f>
      </c>
      <c r="L25" s="91"/>
      <c r="M25" s="31">
        <f t="shared" si="2"/>
        <v>0</v>
      </c>
      <c r="N25" s="31">
        <f t="shared" si="0"/>
        <v>0</v>
      </c>
      <c r="O25" s="31">
        <f t="shared" si="3"/>
        <v>0</v>
      </c>
      <c r="P25" s="31">
        <f t="shared" si="4"/>
        <v>0</v>
      </c>
      <c r="Q25" s="2"/>
    </row>
    <row r="26" spans="1:17" ht="13.5" customHeight="1">
      <c r="A26" s="4">
        <v>5</v>
      </c>
      <c r="B26" s="77"/>
      <c r="C26" s="78"/>
      <c r="D26" s="79"/>
      <c r="E26" s="80"/>
      <c r="F26" s="81"/>
      <c r="G26" s="82"/>
      <c r="H26" s="36"/>
      <c r="I26" s="37">
        <f t="shared" si="1"/>
      </c>
      <c r="J26" s="15">
        <f>IF(AND(B26&lt;&gt;0,C26&lt;&gt;0),(Calculs!E12*SIN(RADIANS(C26)/2)/(B26*PI()*(C26/360))),"")</f>
      </c>
      <c r="K26" s="17">
        <f>IF(AND(AND(B26=0,C26=0),D26=0),"",Calculs!I12-G26)</f>
      </c>
      <c r="L26" s="91"/>
      <c r="M26" s="31">
        <f t="shared" si="2"/>
        <v>0</v>
      </c>
      <c r="N26" s="31">
        <f t="shared" si="0"/>
        <v>0</v>
      </c>
      <c r="O26" s="31">
        <f t="shared" si="3"/>
        <v>0</v>
      </c>
      <c r="P26" s="31">
        <f t="shared" si="4"/>
        <v>0</v>
      </c>
      <c r="Q26" s="2"/>
    </row>
    <row r="27" spans="1:17" ht="13.5" customHeight="1">
      <c r="A27" s="4">
        <v>6</v>
      </c>
      <c r="B27" s="77"/>
      <c r="C27" s="78"/>
      <c r="D27" s="79"/>
      <c r="E27" s="80"/>
      <c r="F27" s="81"/>
      <c r="G27" s="82"/>
      <c r="H27" s="36"/>
      <c r="I27" s="37">
        <f t="shared" si="1"/>
      </c>
      <c r="J27" s="15">
        <f>IF(AND(B27&lt;&gt;0,C27&lt;&gt;0),(Calculs!E13*SIN(RADIANS(C27)/2)/(B27*PI()*(C27/360))),"")</f>
      </c>
      <c r="K27" s="17">
        <f>IF(AND(AND(B27=0,C27=0),D27=0),"",Calculs!I13-G27)</f>
      </c>
      <c r="L27" s="91"/>
      <c r="M27" s="31">
        <f t="shared" si="2"/>
        <v>0</v>
      </c>
      <c r="N27" s="31">
        <f t="shared" si="0"/>
        <v>0</v>
      </c>
      <c r="O27" s="31">
        <f t="shared" si="3"/>
        <v>0</v>
      </c>
      <c r="P27" s="31">
        <f t="shared" si="4"/>
        <v>0</v>
      </c>
      <c r="Q27" s="2"/>
    </row>
    <row r="28" spans="1:17" ht="13.5" customHeight="1">
      <c r="A28" s="4">
        <v>7</v>
      </c>
      <c r="B28" s="77"/>
      <c r="C28" s="78"/>
      <c r="D28" s="79"/>
      <c r="E28" s="80"/>
      <c r="F28" s="81"/>
      <c r="G28" s="82"/>
      <c r="H28" s="36"/>
      <c r="I28" s="37">
        <f t="shared" si="1"/>
      </c>
      <c r="J28" s="15">
        <f>IF(AND(B28&lt;&gt;0,C28&lt;&gt;0),(Calculs!E14*SIN(RADIANS(C28)/2)/(B28*PI()*(C28/360))),"")</f>
      </c>
      <c r="K28" s="17">
        <f>IF(AND(AND(B28=0,C28=0),D28=0),"",Calculs!I14-G28)</f>
      </c>
      <c r="L28" s="91"/>
      <c r="M28" s="31">
        <f t="shared" si="2"/>
        <v>0</v>
      </c>
      <c r="N28" s="31">
        <f t="shared" si="0"/>
        <v>0</v>
      </c>
      <c r="O28" s="31">
        <f t="shared" si="3"/>
        <v>0</v>
      </c>
      <c r="P28" s="31">
        <f t="shared" si="4"/>
        <v>0</v>
      </c>
      <c r="Q28" s="2"/>
    </row>
    <row r="29" spans="1:17" ht="13.5" customHeight="1">
      <c r="A29" s="4">
        <v>8</v>
      </c>
      <c r="B29" s="77"/>
      <c r="C29" s="78"/>
      <c r="D29" s="79"/>
      <c r="E29" s="80"/>
      <c r="F29" s="81"/>
      <c r="G29" s="82"/>
      <c r="H29" s="36"/>
      <c r="I29" s="37">
        <f t="shared" si="1"/>
      </c>
      <c r="J29" s="15">
        <f>IF(AND(B29&lt;&gt;0,C29&lt;&gt;0),(Calculs!E15*SIN(RADIANS(C29)/2)/(B29*PI()*(C29/360))),"")</f>
      </c>
      <c r="K29" s="17">
        <f>IF(AND(AND(B29=0,C29=0),D29=0),"",Calculs!I15-G29)</f>
      </c>
      <c r="L29" s="91"/>
      <c r="M29" s="31">
        <f t="shared" si="2"/>
        <v>0</v>
      </c>
      <c r="N29" s="31">
        <f t="shared" si="0"/>
        <v>0</v>
      </c>
      <c r="O29" s="31">
        <f t="shared" si="3"/>
        <v>0</v>
      </c>
      <c r="P29" s="31">
        <f t="shared" si="4"/>
        <v>0</v>
      </c>
      <c r="Q29" s="2"/>
    </row>
    <row r="30" spans="1:17" ht="13.5" customHeight="1">
      <c r="A30" s="4">
        <v>9</v>
      </c>
      <c r="B30" s="77"/>
      <c r="C30" s="78"/>
      <c r="D30" s="79"/>
      <c r="E30" s="80"/>
      <c r="F30" s="81"/>
      <c r="G30" s="82"/>
      <c r="H30" s="36"/>
      <c r="I30" s="37">
        <f t="shared" si="1"/>
      </c>
      <c r="J30" s="15">
        <f>IF(AND(B30&lt;&gt;0,C30&lt;&gt;0),(Calculs!E16*SIN(RADIANS(C30)/2)/(B30*PI()*(C30/360))),"")</f>
      </c>
      <c r="K30" s="17">
        <f>IF(AND(AND(B30=0,C30=0),D30=0),"",Calculs!I16-G30)</f>
      </c>
      <c r="L30" s="91"/>
      <c r="M30" s="31">
        <f t="shared" si="2"/>
        <v>0</v>
      </c>
      <c r="N30" s="31">
        <f t="shared" si="0"/>
        <v>0</v>
      </c>
      <c r="O30" s="31">
        <f t="shared" si="3"/>
        <v>0</v>
      </c>
      <c r="P30" s="31">
        <f t="shared" si="4"/>
        <v>0</v>
      </c>
      <c r="Q30" s="2"/>
    </row>
    <row r="31" spans="1:17" ht="13.5" customHeight="1">
      <c r="A31" s="4">
        <v>10</v>
      </c>
      <c r="B31" s="77"/>
      <c r="C31" s="78"/>
      <c r="D31" s="79"/>
      <c r="E31" s="80"/>
      <c r="F31" s="81"/>
      <c r="G31" s="82"/>
      <c r="H31" s="36"/>
      <c r="I31" s="37">
        <f t="shared" si="1"/>
      </c>
      <c r="J31" s="15">
        <f>IF(AND(B31&lt;&gt;0,C31&lt;&gt;0),(Calculs!E17*SIN(RADIANS(C31)/2)/(B31*PI()*(C31/360))),"")</f>
      </c>
      <c r="K31" s="17">
        <f>IF(AND(AND(B31=0,C31=0),D31=0),"",Calculs!I17-G31)</f>
      </c>
      <c r="L31" s="91"/>
      <c r="M31" s="31">
        <f t="shared" si="2"/>
        <v>0</v>
      </c>
      <c r="N31" s="31">
        <f t="shared" si="0"/>
        <v>0</v>
      </c>
      <c r="O31" s="31">
        <f t="shared" si="3"/>
        <v>0</v>
      </c>
      <c r="P31" s="31">
        <f t="shared" si="4"/>
        <v>0</v>
      </c>
      <c r="Q31" s="2"/>
    </row>
    <row r="32" spans="1:17" ht="13.5" customHeight="1">
      <c r="A32" s="4">
        <v>11</v>
      </c>
      <c r="B32" s="77"/>
      <c r="C32" s="78"/>
      <c r="D32" s="79"/>
      <c r="E32" s="80"/>
      <c r="F32" s="81"/>
      <c r="G32" s="82"/>
      <c r="H32" s="36"/>
      <c r="I32" s="37">
        <f t="shared" si="1"/>
      </c>
      <c r="J32" s="15">
        <f>IF(AND(B32&lt;&gt;0,C32&lt;&gt;0),(Calculs!E18*SIN(RADIANS(C32)/2)/(B32*PI()*(C32/360))),"")</f>
      </c>
      <c r="K32" s="17">
        <f>IF(AND(AND(B32=0,C32=0),D32=0),"",Calculs!I18-G32)</f>
      </c>
      <c r="L32" s="91"/>
      <c r="M32" s="31">
        <f t="shared" si="2"/>
        <v>0</v>
      </c>
      <c r="N32" s="31">
        <f t="shared" si="0"/>
        <v>0</v>
      </c>
      <c r="O32" s="31">
        <f t="shared" si="3"/>
        <v>0</v>
      </c>
      <c r="P32" s="31">
        <f t="shared" si="4"/>
        <v>0</v>
      </c>
      <c r="Q32" s="2"/>
    </row>
    <row r="33" spans="1:17" ht="13.5" customHeight="1">
      <c r="A33" s="4">
        <v>12</v>
      </c>
      <c r="B33" s="77"/>
      <c r="C33" s="78"/>
      <c r="D33" s="79"/>
      <c r="E33" s="80"/>
      <c r="F33" s="81"/>
      <c r="G33" s="82"/>
      <c r="H33" s="36"/>
      <c r="I33" s="37">
        <f t="shared" si="1"/>
      </c>
      <c r="J33" s="15">
        <f>IF(AND(B33&lt;&gt;0,C33&lt;&gt;0),(Calculs!E19*SIN(RADIANS(C33)/2)/(B33*PI()*(C33/360))),"")</f>
      </c>
      <c r="K33" s="17">
        <f>IF(AND(AND(B33=0,C33=0),D33=0),"",Calculs!I19-G33)</f>
      </c>
      <c r="L33" s="91"/>
      <c r="M33" s="31">
        <f t="shared" si="2"/>
        <v>0</v>
      </c>
      <c r="N33" s="31">
        <f t="shared" si="0"/>
        <v>0</v>
      </c>
      <c r="O33" s="31">
        <f t="shared" si="3"/>
        <v>0</v>
      </c>
      <c r="P33" s="31">
        <f t="shared" si="4"/>
        <v>0</v>
      </c>
      <c r="Q33" s="2"/>
    </row>
    <row r="34" spans="1:17" ht="13.5" customHeight="1">
      <c r="A34" s="4">
        <v>13</v>
      </c>
      <c r="B34" s="77"/>
      <c r="C34" s="78"/>
      <c r="D34" s="79"/>
      <c r="E34" s="80"/>
      <c r="F34" s="81"/>
      <c r="G34" s="82"/>
      <c r="H34" s="36"/>
      <c r="I34" s="37">
        <f t="shared" si="1"/>
      </c>
      <c r="J34" s="15">
        <f>IF(AND(B34&lt;&gt;0,C34&lt;&gt;0),(Calculs!E20*SIN(RADIANS(C34)/2)/(B34*PI()*(C34/360))),"")</f>
      </c>
      <c r="K34" s="17">
        <f>IF(AND(AND(B34=0,C34=0),D34=0),"",Calculs!I20-G34)</f>
      </c>
      <c r="L34" s="91"/>
      <c r="M34" s="31">
        <f t="shared" si="2"/>
        <v>0</v>
      </c>
      <c r="N34" s="31">
        <f t="shared" si="0"/>
        <v>0</v>
      </c>
      <c r="O34" s="31">
        <f t="shared" si="3"/>
        <v>0</v>
      </c>
      <c r="P34" s="31">
        <f t="shared" si="4"/>
        <v>0</v>
      </c>
      <c r="Q34" s="2"/>
    </row>
    <row r="35" spans="1:17" ht="13.5" customHeight="1">
      <c r="A35" s="4">
        <v>14</v>
      </c>
      <c r="B35" s="77"/>
      <c r="C35" s="78"/>
      <c r="D35" s="79"/>
      <c r="E35" s="80"/>
      <c r="F35" s="81"/>
      <c r="G35" s="82"/>
      <c r="H35" s="36"/>
      <c r="I35" s="37">
        <f t="shared" si="1"/>
      </c>
      <c r="J35" s="15">
        <f>IF(AND(B35&lt;&gt;0,C35&lt;&gt;0),(Calculs!E21*SIN(RADIANS(C35)/2)/(B35*PI()*(C35/360))),"")</f>
      </c>
      <c r="K35" s="17">
        <f>IF(AND(AND(B35=0,C35=0),D35=0),"",Calculs!I21-G35)</f>
      </c>
      <c r="L35" s="91"/>
      <c r="M35" s="31">
        <f t="shared" si="2"/>
        <v>0</v>
      </c>
      <c r="N35" s="31">
        <f t="shared" si="0"/>
        <v>0</v>
      </c>
      <c r="O35" s="31">
        <f t="shared" si="3"/>
        <v>0</v>
      </c>
      <c r="P35" s="31">
        <f t="shared" si="4"/>
        <v>0</v>
      </c>
      <c r="Q35" s="2"/>
    </row>
    <row r="36" spans="1:17" ht="13.5" customHeight="1">
      <c r="A36" s="4">
        <v>15</v>
      </c>
      <c r="B36" s="77"/>
      <c r="C36" s="78"/>
      <c r="D36" s="79"/>
      <c r="E36" s="80"/>
      <c r="F36" s="81"/>
      <c r="G36" s="82"/>
      <c r="H36" s="36"/>
      <c r="I36" s="37">
        <f aca="true" t="shared" si="5" ref="I36:I41">IF(AND(ISBLANK(B36),ISBLANK(C36),ISBLANK(D36),ISBLANK(E36)),"",P36)</f>
      </c>
      <c r="J36" s="15">
        <f>IF(AND(B36&lt;&gt;0,C36&lt;&gt;0),(Calculs!E22*SIN(RADIANS(C36)/2)/(B36*PI()*(C36/360))),"")</f>
      </c>
      <c r="K36" s="17">
        <f>IF(AND(AND(B36=0,C36=0),D36=0),"",Calculs!I22-G36)</f>
      </c>
      <c r="L36" s="91"/>
      <c r="M36" s="31">
        <f t="shared" si="2"/>
        <v>0</v>
      </c>
      <c r="N36" s="31">
        <f t="shared" si="0"/>
        <v>0</v>
      </c>
      <c r="O36" s="31">
        <f t="shared" si="3"/>
        <v>0</v>
      </c>
      <c r="P36" s="31">
        <f t="shared" si="4"/>
        <v>0</v>
      </c>
      <c r="Q36" s="2"/>
    </row>
    <row r="37" spans="1:17" ht="13.5" customHeight="1">
      <c r="A37" s="4">
        <v>16</v>
      </c>
      <c r="B37" s="77"/>
      <c r="C37" s="78"/>
      <c r="D37" s="79"/>
      <c r="E37" s="80"/>
      <c r="F37" s="81"/>
      <c r="G37" s="82"/>
      <c r="H37" s="36"/>
      <c r="I37" s="37">
        <f t="shared" si="5"/>
      </c>
      <c r="J37" s="15">
        <f>IF(AND(B37&lt;&gt;0,C37&lt;&gt;0),(Calculs!E23*SIN(RADIANS(C37)/2)/(B37*PI()*(C37/360))),"")</f>
      </c>
      <c r="K37" s="17">
        <f>IF(AND(AND(B37=0,C37=0),D37=0),"",Calculs!I23-G37)</f>
      </c>
      <c r="L37" s="91"/>
      <c r="M37" s="31">
        <f t="shared" si="2"/>
        <v>0</v>
      </c>
      <c r="N37" s="31">
        <f t="shared" si="0"/>
        <v>0</v>
      </c>
      <c r="O37" s="31">
        <f t="shared" si="3"/>
        <v>0</v>
      </c>
      <c r="P37" s="31">
        <f t="shared" si="4"/>
        <v>0</v>
      </c>
      <c r="Q37" s="2"/>
    </row>
    <row r="38" spans="1:17" ht="13.5" customHeight="1">
      <c r="A38" s="4">
        <v>17</v>
      </c>
      <c r="B38" s="77"/>
      <c r="C38" s="78"/>
      <c r="D38" s="79"/>
      <c r="E38" s="80"/>
      <c r="F38" s="81"/>
      <c r="G38" s="82"/>
      <c r="H38" s="36"/>
      <c r="I38" s="37">
        <f t="shared" si="5"/>
      </c>
      <c r="J38" s="15">
        <f>IF(AND(B38&lt;&gt;0,C38&lt;&gt;0),(Calculs!E24*SIN(RADIANS(C38)/2)/(B38*PI()*(C38/360))),"")</f>
      </c>
      <c r="K38" s="17">
        <f>IF(AND(AND(B38=0,C38=0),D38=0),"",Calculs!I24-G38)</f>
      </c>
      <c r="L38" s="91"/>
      <c r="M38" s="31">
        <f>(PI()*2*B38*C38)/360</f>
        <v>0</v>
      </c>
      <c r="N38" s="31">
        <f t="shared" si="0"/>
        <v>0</v>
      </c>
      <c r="O38" s="31">
        <f t="shared" si="3"/>
        <v>0</v>
      </c>
      <c r="P38" s="31">
        <f t="shared" si="4"/>
        <v>0</v>
      </c>
      <c r="Q38" s="2"/>
    </row>
    <row r="39" spans="1:17" ht="13.5" customHeight="1">
      <c r="A39" s="4">
        <v>18</v>
      </c>
      <c r="B39" s="77"/>
      <c r="C39" s="78"/>
      <c r="D39" s="79"/>
      <c r="E39" s="80"/>
      <c r="F39" s="81"/>
      <c r="G39" s="82"/>
      <c r="H39" s="36"/>
      <c r="I39" s="37">
        <f t="shared" si="5"/>
      </c>
      <c r="J39" s="15">
        <f>IF(AND(B39&lt;&gt;0,C39&lt;&gt;0),(Calculs!E25*SIN(RADIANS(C39)/2)/(B39*PI()*(C39/360))),"")</f>
      </c>
      <c r="K39" s="17">
        <f>IF(AND(AND(B39=0,C39=0),D39=0),"",Calculs!I25-G39)</f>
      </c>
      <c r="L39" s="91"/>
      <c r="M39" s="31">
        <f>(PI()*2*B39*C39)/360</f>
        <v>0</v>
      </c>
      <c r="N39" s="31">
        <f t="shared" si="0"/>
        <v>0</v>
      </c>
      <c r="O39" s="31">
        <f t="shared" si="3"/>
        <v>0</v>
      </c>
      <c r="P39" s="31">
        <f t="shared" si="4"/>
        <v>0</v>
      </c>
      <c r="Q39" s="2"/>
    </row>
    <row r="40" spans="1:17" ht="13.5" customHeight="1">
      <c r="A40" s="4">
        <v>19</v>
      </c>
      <c r="B40" s="77"/>
      <c r="C40" s="78"/>
      <c r="D40" s="79"/>
      <c r="E40" s="80"/>
      <c r="F40" s="81"/>
      <c r="G40" s="82"/>
      <c r="H40" s="36"/>
      <c r="I40" s="37">
        <f t="shared" si="5"/>
      </c>
      <c r="J40" s="15">
        <f>IF(AND(B40&lt;&gt;0,C40&lt;&gt;0),(Calculs!E26*SIN(RADIANS(C40)/2)/(B40*PI()*(C40/360))),"")</f>
      </c>
      <c r="K40" s="17">
        <f>IF(AND(AND(B40=0,C40=0),D40=0),"",Calculs!I26-G40)</f>
      </c>
      <c r="L40" s="91"/>
      <c r="M40" s="31">
        <f>(PI()*2*B40*C40)/360</f>
        <v>0</v>
      </c>
      <c r="N40" s="31">
        <f t="shared" si="0"/>
        <v>0</v>
      </c>
      <c r="O40" s="31">
        <f>IF(E40&lt;&gt;0,SQRT(D40^2+E40^2),0)</f>
        <v>0</v>
      </c>
      <c r="P40" s="31">
        <f>IF(O40&lt;&gt;0,M40+O40+P39,M40+N40+P39)</f>
        <v>0</v>
      </c>
      <c r="Q40" s="2"/>
    </row>
    <row r="41" spans="1:17" ht="13.5" customHeight="1" thickBot="1">
      <c r="A41" s="19">
        <v>20</v>
      </c>
      <c r="B41" s="83"/>
      <c r="C41" s="84"/>
      <c r="D41" s="85"/>
      <c r="E41" s="86"/>
      <c r="F41" s="87"/>
      <c r="G41" s="88"/>
      <c r="H41" s="36"/>
      <c r="I41" s="53">
        <f t="shared" si="5"/>
      </c>
      <c r="J41" s="20">
        <f>IF(AND(B41&lt;&gt;0,C41&lt;&gt;0),(Calculs!E27*SIN(RADIANS(C41)/2)/(B41*PI()*(C41/360))),"")</f>
      </c>
      <c r="K41" s="21">
        <f>IF(AND(AND(B41=0,C41=0),D41=0),"",Calculs!I27-G41)</f>
      </c>
      <c r="L41" s="91"/>
      <c r="M41" s="32">
        <f>(PI()*2*B41*C41)/360</f>
        <v>0</v>
      </c>
      <c r="N41" s="32">
        <f t="shared" si="0"/>
        <v>0</v>
      </c>
      <c r="O41" s="32">
        <f>IF(E41&lt;&gt;0,SQRT(D41^2+E41^2),0)</f>
        <v>0</v>
      </c>
      <c r="P41" s="32">
        <f>IF(O41&lt;&gt;0,M41+O41+P40,M41+N41+P40)</f>
        <v>0</v>
      </c>
      <c r="Q41" s="2"/>
    </row>
    <row r="42" spans="1:17" ht="9.75" customHeight="1" thickTop="1">
      <c r="A42" s="27"/>
      <c r="B42" s="27"/>
      <c r="C42" s="27"/>
      <c r="D42" s="27"/>
      <c r="E42" s="27"/>
      <c r="F42" s="27"/>
      <c r="G42" s="27"/>
      <c r="H42" s="27"/>
      <c r="I42" s="27"/>
      <c r="J42" s="27"/>
      <c r="L42" s="2"/>
      <c r="M42" s="2"/>
      <c r="N42" s="2"/>
      <c r="O42" s="2"/>
      <c r="P42" s="2"/>
      <c r="Q42" s="2"/>
    </row>
    <row r="43" spans="1:17" ht="13.5" customHeight="1">
      <c r="A43" s="101" t="s">
        <v>124</v>
      </c>
      <c r="B43" s="106"/>
      <c r="C43" s="106"/>
      <c r="D43" s="106"/>
      <c r="E43" s="106"/>
      <c r="F43" s="106"/>
      <c r="G43" s="106"/>
      <c r="H43" s="22"/>
      <c r="I43" s="96">
        <f>MAX(K22:K41)</f>
        <v>0</v>
      </c>
      <c r="J43" s="46" t="s">
        <v>93</v>
      </c>
      <c r="K43" s="23"/>
      <c r="L43" s="2"/>
      <c r="M43" s="2"/>
      <c r="N43" s="2"/>
      <c r="O43" s="2"/>
      <c r="P43" s="2"/>
      <c r="Q43" s="2"/>
    </row>
    <row r="44" spans="1:17" ht="13.5" customHeight="1">
      <c r="A44" s="102" t="s">
        <v>125</v>
      </c>
      <c r="B44" s="107"/>
      <c r="C44" s="107"/>
      <c r="D44" s="107"/>
      <c r="E44" s="107"/>
      <c r="F44" s="107"/>
      <c r="G44" s="107"/>
      <c r="H44" s="33"/>
      <c r="I44" s="134" t="e">
        <f>Calculs!B42</f>
        <v>#N/A</v>
      </c>
      <c r="J44" s="90" t="s">
        <v>93</v>
      </c>
      <c r="K44" s="5"/>
      <c r="L44" s="2"/>
      <c r="M44" s="2"/>
      <c r="N44" s="2"/>
      <c r="O44" s="2"/>
      <c r="P44" s="2"/>
      <c r="Q44" s="2"/>
    </row>
    <row r="45" spans="1:17" ht="13.5" customHeight="1">
      <c r="A45" s="132" t="e">
        <f>IF(AND(I44&lt;I43,Calculs!D1=0),"ACHTUNG die max. zulässige Zugkraft ist überschritten",IF(AND(I44&lt;I43,Calculs!D1=1),"ATTENTION la force de traction maximale est dépassée",IF(AND(I44&lt;I43,Calculs!D1=2),"ATTENTION the max. admissible pulling force is exeeded","")))</f>
        <v>#N/A</v>
      </c>
      <c r="B45" s="108"/>
      <c r="C45" s="109"/>
      <c r="D45" s="109"/>
      <c r="E45" s="109"/>
      <c r="F45" s="109"/>
      <c r="G45" s="109"/>
      <c r="H45" s="69"/>
      <c r="I45" s="70"/>
      <c r="J45" s="71"/>
      <c r="K45" s="14"/>
      <c r="L45" s="2"/>
      <c r="M45" s="2"/>
      <c r="N45" s="2"/>
      <c r="O45" s="2"/>
      <c r="P45" s="2"/>
      <c r="Q45" s="2"/>
    </row>
    <row r="46" spans="1:17" ht="13.5" customHeight="1">
      <c r="A46" s="33"/>
      <c r="B46" s="33"/>
      <c r="C46" s="33"/>
      <c r="D46" s="33"/>
      <c r="E46" s="33"/>
      <c r="F46" s="33"/>
      <c r="G46" s="48"/>
      <c r="H46" s="33"/>
      <c r="I46" s="33"/>
      <c r="J46" s="33"/>
      <c r="K46" s="49"/>
      <c r="L46" s="2"/>
      <c r="M46" s="2"/>
      <c r="N46" s="2"/>
      <c r="O46" s="2"/>
      <c r="P46" s="2"/>
      <c r="Q46" s="2"/>
    </row>
    <row r="47" spans="1:36" ht="13.5" customHeight="1">
      <c r="A47" s="104" t="s">
        <v>126</v>
      </c>
      <c r="B47" s="106"/>
      <c r="C47" s="106"/>
      <c r="D47" s="106"/>
      <c r="E47" s="106"/>
      <c r="F47" s="106"/>
      <c r="G47" s="106"/>
      <c r="H47" s="22"/>
      <c r="I47" s="97" t="str">
        <f>FIXED(Calculs!G44,1)</f>
        <v>0.0</v>
      </c>
      <c r="J47" s="46" t="s">
        <v>92</v>
      </c>
      <c r="K47" s="23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13.5" customHeight="1">
      <c r="A48" s="105" t="s">
        <v>127</v>
      </c>
      <c r="B48" s="110"/>
      <c r="C48" s="110"/>
      <c r="D48" s="110"/>
      <c r="E48" s="110"/>
      <c r="F48" s="110"/>
      <c r="G48" s="110"/>
      <c r="H48" s="1"/>
      <c r="I48" s="98" t="str">
        <f>FIXED(Calculs!G45,0)</f>
        <v>0</v>
      </c>
      <c r="J48" s="1"/>
      <c r="K48" s="25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3.5" customHeight="1">
      <c r="A49" s="103" t="s">
        <v>128</v>
      </c>
      <c r="B49" s="111"/>
      <c r="C49" s="111"/>
      <c r="D49" s="111"/>
      <c r="E49" s="111"/>
      <c r="F49" s="111"/>
      <c r="G49" s="109"/>
      <c r="H49" s="69"/>
      <c r="I49" s="135" t="e">
        <f>Calculs!G47</f>
        <v>#N/A</v>
      </c>
      <c r="J49" s="72" t="str">
        <f>IF(AND(Calculs!G41=6,Calculs!D1=0),"Kg/Rolle",IF(AND(Calculs!G41=6,Calculs!D1=1),"Kg/galet",IF(AND(Calculs!G41=6,Calculs!D1=2),"Kg/roller","Kg/m")))</f>
        <v>Kg/m</v>
      </c>
      <c r="K49" s="73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9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3.5" customHeight="1">
      <c r="A51" s="104" t="s">
        <v>129</v>
      </c>
      <c r="B51" s="106"/>
      <c r="C51" s="106"/>
      <c r="D51" s="106"/>
      <c r="E51" s="106"/>
      <c r="F51" s="106"/>
      <c r="G51" s="106"/>
      <c r="H51" s="22"/>
      <c r="I51" s="96">
        <f>Calculs!K34*1000</f>
        <v>0</v>
      </c>
      <c r="J51" s="46" t="s">
        <v>4</v>
      </c>
      <c r="K51" s="23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3.5" customHeight="1">
      <c r="A52" s="105" t="s">
        <v>127</v>
      </c>
      <c r="B52" s="110"/>
      <c r="C52" s="110"/>
      <c r="D52" s="110"/>
      <c r="E52" s="110"/>
      <c r="F52" s="110"/>
      <c r="G52" s="110"/>
      <c r="H52" s="1"/>
      <c r="I52" s="133">
        <f>Calculs!K35</f>
        <v>0</v>
      </c>
      <c r="J52" s="45"/>
      <c r="K52" s="43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3.5" customHeight="1">
      <c r="A53" s="103" t="s">
        <v>130</v>
      </c>
      <c r="B53" s="111"/>
      <c r="C53" s="111"/>
      <c r="D53" s="111"/>
      <c r="E53" s="109"/>
      <c r="F53" s="109"/>
      <c r="G53" s="109"/>
      <c r="H53" s="69"/>
      <c r="I53" s="135" t="e">
        <f>ROUND(Calculs!K41,0)</f>
        <v>#N/A</v>
      </c>
      <c r="J53" s="74" t="s">
        <v>4</v>
      </c>
      <c r="K53" s="44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</sheetData>
  <sheetProtection password="CF9D" sheet="1" objects="1" scenarios="1"/>
  <printOptions/>
  <pageMargins left="0.7874015748031497" right="0.3937007874015748" top="0.3937007874015748" bottom="0.9448818897637796" header="0.3937007874015748" footer="0.7086614173228347"/>
  <pageSetup fitToHeight="1" fitToWidth="1" horizontalDpi="600" verticalDpi="600" orientation="portrait" paperSize="9" scale="95" r:id="rId2"/>
  <headerFooter alignWithMargins="0">
    <oddFooter>&amp;L&amp;"Times New Roman,Normal"&amp;8[&amp;F]&amp;A&amp;R&amp;"Times New Roman,Normal"&amp;8&amp;D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53"/>
  <sheetViews>
    <sheetView zoomScale="80" zoomScaleNormal="80" workbookViewId="0" topLeftCell="A14">
      <selection activeCell="B44" sqref="B44"/>
    </sheetView>
  </sheetViews>
  <sheetFormatPr defaultColWidth="11.5546875" defaultRowHeight="15"/>
  <cols>
    <col min="1" max="2" width="11.5546875" style="27" customWidth="1"/>
    <col min="3" max="3" width="12.77734375" style="27" customWidth="1"/>
    <col min="4" max="16384" width="11.5546875" style="27" customWidth="1"/>
  </cols>
  <sheetData>
    <row r="1" spans="1:4" ht="12.75">
      <c r="A1" s="51" t="s">
        <v>13</v>
      </c>
      <c r="C1" s="42" t="s">
        <v>90</v>
      </c>
      <c r="D1" s="99">
        <v>0</v>
      </c>
    </row>
    <row r="2" ht="12.75">
      <c r="E2" s="27" t="s">
        <v>9</v>
      </c>
    </row>
    <row r="3" ht="12.75">
      <c r="G3" s="27" t="s">
        <v>5</v>
      </c>
    </row>
    <row r="4" ht="12.75">
      <c r="E4" s="27" t="s">
        <v>14</v>
      </c>
    </row>
    <row r="5" spans="5:9" ht="12.75">
      <c r="E5" s="27" t="s">
        <v>15</v>
      </c>
      <c r="G5" s="27" t="s">
        <v>16</v>
      </c>
      <c r="H5" s="27" t="s">
        <v>7</v>
      </c>
      <c r="I5" s="27" t="s">
        <v>8</v>
      </c>
    </row>
    <row r="7" spans="1:4" ht="12.75">
      <c r="A7" s="27" t="s">
        <v>6</v>
      </c>
      <c r="B7" s="27" t="s">
        <v>5</v>
      </c>
      <c r="C7" s="27" t="s">
        <v>17</v>
      </c>
      <c r="D7" s="27" t="s">
        <v>18</v>
      </c>
    </row>
    <row r="8" spans="1:11" ht="12.75">
      <c r="A8" s="27">
        <f>IF(Saisie!B22&lt;&gt;"",Saisie!B22,"")</f>
      </c>
      <c r="B8" s="18">
        <v>1</v>
      </c>
      <c r="C8" s="27">
        <f>IF(Saisie!J22&lt;&gt;"",Saisie!J22,"")</f>
      </c>
      <c r="D8" s="100" t="e">
        <f>IF(Saisie!F22&lt;&gt;"",Saisie!F22,Saisie!$J$16)</f>
        <v>#N/A</v>
      </c>
      <c r="E8" s="15">
        <f>IF(Saisie!B22&lt;&gt;0,+Saisie!K21+(SQRT((Saisie!K21/Saisie!B22)^2+(Saisie!$J$9^2))*((2*PI()/360)*Saisie!C22*Saisie!B22*D8)),Saisie!K21)</f>
        <v>0</v>
      </c>
      <c r="G8" s="15" t="e">
        <f>E8+(Saisie!D22*D8*Saisie!$J$9)</f>
        <v>#N/A</v>
      </c>
      <c r="H8" s="16" t="s">
        <v>19</v>
      </c>
      <c r="I8" s="15" t="e">
        <f>E8+(Saisie!D22*D8*Saisie!$J$9)+(Saisie!E22*Saisie!$J$9)</f>
        <v>#N/A</v>
      </c>
      <c r="K8" s="15" t="e">
        <f>I8-Saisie!G22</f>
        <v>#N/A</v>
      </c>
    </row>
    <row r="9" spans="1:11" ht="12.75">
      <c r="A9" s="27">
        <f>IF(Saisie!B23&lt;&gt;"",Saisie!B23,"")</f>
      </c>
      <c r="B9" s="18">
        <v>2</v>
      </c>
      <c r="C9" s="27">
        <f>IF(Saisie!J23&lt;&gt;"",Saisie!J23,"")</f>
      </c>
      <c r="D9" s="100" t="e">
        <f>IF(Saisie!F23&lt;&gt;"",Saisie!F23,Saisie!$J$16)</f>
        <v>#N/A</v>
      </c>
      <c r="E9" s="15">
        <f>IF(Saisie!B23&lt;&gt;0,+Saisie!K22+(SQRT((Saisie!K22/Saisie!B23)^2+(Saisie!$J$9^2))*((2*PI()/360)*Saisie!C23*Saisie!B23*D9)),Saisie!K22)</f>
      </c>
      <c r="G9" s="15" t="e">
        <f>E9+(Saisie!D23*D9*Saisie!$J$9)</f>
        <v>#VALUE!</v>
      </c>
      <c r="H9" s="16" t="s">
        <v>19</v>
      </c>
      <c r="I9" s="15" t="e">
        <f>E9+(Saisie!D23*D9*Saisie!$J$9)+(Saisie!E23*Saisie!$J$9)</f>
        <v>#VALUE!</v>
      </c>
      <c r="K9" s="15" t="e">
        <f>I9-Saisie!G23</f>
        <v>#VALUE!</v>
      </c>
    </row>
    <row r="10" spans="1:11" ht="12.75">
      <c r="A10" s="27">
        <f>IF(Saisie!B24&lt;&gt;"",Saisie!B24,"")</f>
      </c>
      <c r="B10" s="18">
        <v>3</v>
      </c>
      <c r="C10" s="27">
        <f>IF(Saisie!J24&lt;&gt;"",Saisie!J24,"")</f>
      </c>
      <c r="D10" s="100" t="e">
        <f>IF(Saisie!F24&lt;&gt;"",Saisie!F24,Saisie!$J$16)</f>
        <v>#N/A</v>
      </c>
      <c r="E10" s="15">
        <f>IF(Saisie!B24&lt;&gt;0,+Saisie!K23+(SQRT((Saisie!K23/Saisie!B24)^2+(Saisie!$J$9^2))*((2*PI()/360)*Saisie!C24*Saisie!B24*D10)),Saisie!K23)</f>
      </c>
      <c r="G10" s="15" t="e">
        <f>E10+(Saisie!D24*D10*Saisie!$J$9)</f>
        <v>#VALUE!</v>
      </c>
      <c r="H10" s="16" t="s">
        <v>19</v>
      </c>
      <c r="I10" s="15" t="e">
        <f>E10+(Saisie!D24*D10*Saisie!$J$9)+(Saisie!E24*Saisie!$J$9)</f>
        <v>#VALUE!</v>
      </c>
      <c r="K10" s="15" t="e">
        <f>I10-Saisie!G24</f>
        <v>#VALUE!</v>
      </c>
    </row>
    <row r="11" spans="1:11" ht="12.75">
      <c r="A11" s="27">
        <f>IF(Saisie!B25&lt;&gt;"",Saisie!B25,"")</f>
      </c>
      <c r="B11" s="18">
        <v>4</v>
      </c>
      <c r="C11" s="27">
        <f>IF(Saisie!J25&lt;&gt;"",Saisie!J25,"")</f>
      </c>
      <c r="D11" s="100" t="e">
        <f>IF(Saisie!F25&lt;&gt;"",Saisie!F25,Saisie!$J$16)</f>
        <v>#N/A</v>
      </c>
      <c r="E11" s="15">
        <f>IF(Saisie!B25&lt;&gt;0,+Saisie!K24+(SQRT((Saisie!K24/Saisie!B25)^2+(Saisie!$J$9^2))*((2*PI()/360)*Saisie!C25*Saisie!B25*D11)),Saisie!K24)</f>
      </c>
      <c r="G11" s="15" t="e">
        <f>E11+(Saisie!D25*D11*Saisie!$J$9)</f>
        <v>#VALUE!</v>
      </c>
      <c r="H11" s="16" t="s">
        <v>19</v>
      </c>
      <c r="I11" s="15" t="e">
        <f>E11+(Saisie!D25*D11*Saisie!$J$9)+(Saisie!E25*Saisie!$J$9)</f>
        <v>#VALUE!</v>
      </c>
      <c r="K11" s="15" t="e">
        <f>I11-Saisie!G25</f>
        <v>#VALUE!</v>
      </c>
    </row>
    <row r="12" spans="1:11" ht="12.75">
      <c r="A12" s="27">
        <f>IF(Saisie!B26&lt;&gt;"",Saisie!B26,"")</f>
      </c>
      <c r="B12" s="18">
        <v>5</v>
      </c>
      <c r="C12" s="27">
        <f>IF(Saisie!J26&lt;&gt;"",Saisie!J26,"")</f>
      </c>
      <c r="D12" s="100" t="e">
        <f>IF(Saisie!F26&lt;&gt;"",Saisie!F26,Saisie!$J$16)</f>
        <v>#N/A</v>
      </c>
      <c r="E12" s="15">
        <f>IF(Saisie!B26&lt;&gt;0,+Saisie!K25+(SQRT((Saisie!K25/Saisie!B26)^2+(Saisie!$J$9^2))*((2*PI()/360)*Saisie!C26*Saisie!B26*D12)),Saisie!K25)</f>
      </c>
      <c r="G12" s="15" t="e">
        <f>E12+(Saisie!D26*D12*Saisie!$J$9)</f>
        <v>#VALUE!</v>
      </c>
      <c r="H12" s="16" t="s">
        <v>19</v>
      </c>
      <c r="I12" s="15" t="e">
        <f>E12+(Saisie!D26*D12*Saisie!$J$9)+(Saisie!E26*Saisie!$J$9)</f>
        <v>#VALUE!</v>
      </c>
      <c r="K12" s="15" t="e">
        <f>I12-Saisie!G26</f>
        <v>#VALUE!</v>
      </c>
    </row>
    <row r="13" spans="1:11" ht="12.75">
      <c r="A13" s="27">
        <f>IF(Saisie!B27&lt;&gt;"",Saisie!B27,"")</f>
      </c>
      <c r="B13" s="18">
        <v>6</v>
      </c>
      <c r="C13" s="27">
        <f>IF(Saisie!J27&lt;&gt;"",Saisie!J27,"")</f>
      </c>
      <c r="D13" s="100" t="e">
        <f>IF(Saisie!F27&lt;&gt;"",Saisie!F27,Saisie!$J$16)</f>
        <v>#N/A</v>
      </c>
      <c r="E13" s="15">
        <f>IF(Saisie!B27&lt;&gt;0,+Saisie!K26+(SQRT((Saisie!K26/Saisie!B27)^2+(Saisie!$J$9^2))*((2*PI()/360)*Saisie!C27*Saisie!B27*D13)),Saisie!K26)</f>
      </c>
      <c r="G13" s="15" t="e">
        <f>E13+(Saisie!D27*D13*Saisie!$J$9)</f>
        <v>#VALUE!</v>
      </c>
      <c r="H13" s="16" t="s">
        <v>19</v>
      </c>
      <c r="I13" s="15" t="e">
        <f>E13+(Saisie!D27*D13*Saisie!$J$9)+(Saisie!E27*Saisie!$J$9)</f>
        <v>#VALUE!</v>
      </c>
      <c r="K13" s="15" t="e">
        <f>I13-Saisie!G27</f>
        <v>#VALUE!</v>
      </c>
    </row>
    <row r="14" spans="1:11" ht="12.75">
      <c r="A14" s="27">
        <f>IF(Saisie!B28&lt;&gt;"",Saisie!B28,"")</f>
      </c>
      <c r="B14" s="18">
        <v>7</v>
      </c>
      <c r="C14" s="27">
        <f>IF(Saisie!J28&lt;&gt;"",Saisie!J28,"")</f>
      </c>
      <c r="D14" s="100" t="e">
        <f>IF(Saisie!F28&lt;&gt;"",Saisie!F28,Saisie!$J$16)</f>
        <v>#N/A</v>
      </c>
      <c r="E14" s="15">
        <f>IF(Saisie!B28&lt;&gt;0,+Saisie!K27+(SQRT((Saisie!K27/Saisie!B28)^2+(Saisie!$J$9^2))*((2*PI()/360)*Saisie!C28*Saisie!B28*D14)),Saisie!K27)</f>
      </c>
      <c r="G14" s="15" t="e">
        <f>E14+(Saisie!D28*D14*Saisie!$J$9)</f>
        <v>#VALUE!</v>
      </c>
      <c r="H14" s="16" t="s">
        <v>19</v>
      </c>
      <c r="I14" s="15" t="e">
        <f>E14+(Saisie!D28*D14*Saisie!$J$9)+(Saisie!E28*Saisie!$J$9)</f>
        <v>#VALUE!</v>
      </c>
      <c r="K14" s="15" t="e">
        <f>I14-Saisie!G28</f>
        <v>#VALUE!</v>
      </c>
    </row>
    <row r="15" spans="1:11" ht="12.75">
      <c r="A15" s="27">
        <f>IF(Saisie!B29&lt;&gt;"",Saisie!B29,"")</f>
      </c>
      <c r="B15" s="18">
        <v>8</v>
      </c>
      <c r="C15" s="27">
        <f>IF(Saisie!J29&lt;&gt;"",Saisie!J29,"")</f>
      </c>
      <c r="D15" s="100" t="e">
        <f>IF(Saisie!F29&lt;&gt;"",Saisie!F29,Saisie!$J$16)</f>
        <v>#N/A</v>
      </c>
      <c r="E15" s="15">
        <f>IF(Saisie!B29&lt;&gt;0,+Saisie!K28+(SQRT((Saisie!K28/Saisie!B29)^2+(Saisie!$J$9^2))*((2*PI()/360)*Saisie!C29*Saisie!B29*D15)),Saisie!K28)</f>
      </c>
      <c r="G15" s="15" t="e">
        <f>E15+(Saisie!D29*D15*Saisie!$J$9)</f>
        <v>#VALUE!</v>
      </c>
      <c r="H15" s="16" t="s">
        <v>19</v>
      </c>
      <c r="I15" s="15" t="e">
        <f>E15+(Saisie!D29*D15*Saisie!$J$9)+(Saisie!E29*Saisie!$J$9)</f>
        <v>#VALUE!</v>
      </c>
      <c r="K15" s="15" t="e">
        <f>I15-Saisie!G29</f>
        <v>#VALUE!</v>
      </c>
    </row>
    <row r="16" spans="1:11" ht="12.75">
      <c r="A16" s="27">
        <f>IF(Saisie!B30&lt;&gt;"",Saisie!B30,"")</f>
      </c>
      <c r="B16" s="18">
        <v>9</v>
      </c>
      <c r="C16" s="27">
        <f>IF(Saisie!J30&lt;&gt;"",Saisie!J30,"")</f>
      </c>
      <c r="D16" s="100" t="e">
        <f>IF(Saisie!F30&lt;&gt;"",Saisie!F30,Saisie!$J$16)</f>
        <v>#N/A</v>
      </c>
      <c r="E16" s="15">
        <f>IF(Saisie!B30&lt;&gt;0,+Saisie!K29+(SQRT((Saisie!K29/Saisie!B30)^2+(Saisie!$J$9^2))*((2*PI()/360)*Saisie!C30*Saisie!B30*D16)),Saisie!K29)</f>
      </c>
      <c r="G16" s="15" t="e">
        <f>E16+(Saisie!D30*D16*Saisie!$J$9)</f>
        <v>#VALUE!</v>
      </c>
      <c r="H16" s="16" t="s">
        <v>19</v>
      </c>
      <c r="I16" s="15" t="e">
        <f>E16+(Saisie!D30*D16*Saisie!$J$9)+(Saisie!E30*Saisie!$J$9)</f>
        <v>#VALUE!</v>
      </c>
      <c r="K16" s="15" t="e">
        <f>I16-Saisie!G30</f>
        <v>#VALUE!</v>
      </c>
    </row>
    <row r="17" spans="1:11" ht="12.75">
      <c r="A17" s="27">
        <f>IF(Saisie!B31&lt;&gt;"",Saisie!B31,"")</f>
      </c>
      <c r="B17" s="18">
        <v>10</v>
      </c>
      <c r="C17" s="27">
        <f>IF(Saisie!J31&lt;&gt;"",Saisie!J31,"")</f>
      </c>
      <c r="D17" s="100" t="e">
        <f>IF(Saisie!F31&lt;&gt;"",Saisie!F31,Saisie!$J$16)</f>
        <v>#N/A</v>
      </c>
      <c r="E17" s="15">
        <f>IF(Saisie!B31&lt;&gt;0,+Saisie!K30+(SQRT((Saisie!K30/Saisie!B31)^2+(Saisie!$J$9^2))*((2*PI()/360)*Saisie!C31*Saisie!B31*D17)),Saisie!K30)</f>
      </c>
      <c r="G17" s="15" t="e">
        <f>E17+(Saisie!D31*D17*Saisie!$J$9)</f>
        <v>#VALUE!</v>
      </c>
      <c r="H17" s="16" t="s">
        <v>19</v>
      </c>
      <c r="I17" s="15" t="e">
        <f>E17+(Saisie!D31*D17*Saisie!$J$9)+(Saisie!E31*Saisie!$J$9)</f>
        <v>#VALUE!</v>
      </c>
      <c r="K17" s="15" t="e">
        <f>I17-Saisie!G31</f>
        <v>#VALUE!</v>
      </c>
    </row>
    <row r="18" spans="1:11" ht="12.75">
      <c r="A18" s="27">
        <f>IF(Saisie!B32&lt;&gt;"",Saisie!B32,"")</f>
      </c>
      <c r="B18" s="18">
        <v>11</v>
      </c>
      <c r="C18" s="27">
        <f>IF(Saisie!J32&lt;&gt;"",Saisie!J32,"")</f>
      </c>
      <c r="D18" s="100" t="e">
        <f>IF(Saisie!F32&lt;&gt;"",Saisie!F32,Saisie!$J$16)</f>
        <v>#N/A</v>
      </c>
      <c r="E18" s="15">
        <f>IF(Saisie!B32&lt;&gt;0,+Saisie!K31+(SQRT((Saisie!K31/Saisie!B32)^2+(Saisie!$J$9^2))*((2*PI()/360)*Saisie!C32*Saisie!B32*D18)),Saisie!K31)</f>
      </c>
      <c r="G18" s="15" t="e">
        <f>E18+(Saisie!D32*D18*Saisie!$J$9)</f>
        <v>#VALUE!</v>
      </c>
      <c r="H18" s="16" t="s">
        <v>19</v>
      </c>
      <c r="I18" s="15" t="e">
        <f>E18+(Saisie!D32*D18*Saisie!$J$9)+(Saisie!E32*Saisie!$J$9)</f>
        <v>#VALUE!</v>
      </c>
      <c r="K18" s="15" t="e">
        <f>I18-Saisie!G32</f>
        <v>#VALUE!</v>
      </c>
    </row>
    <row r="19" spans="1:11" ht="12.75">
      <c r="A19" s="27">
        <f>IF(Saisie!B33&lt;&gt;"",Saisie!B33,"")</f>
      </c>
      <c r="B19" s="18">
        <v>12</v>
      </c>
      <c r="C19" s="27">
        <f>IF(Saisie!J33&lt;&gt;"",Saisie!J33,"")</f>
      </c>
      <c r="D19" s="100" t="e">
        <f>IF(Saisie!F33&lt;&gt;"",Saisie!F33,Saisie!$J$16)</f>
        <v>#N/A</v>
      </c>
      <c r="E19" s="15">
        <f>IF(Saisie!B33&lt;&gt;0,+Saisie!K32+(SQRT((Saisie!K32/Saisie!B33)^2+(Saisie!$J$9^2))*((2*PI()/360)*Saisie!C33*Saisie!B33*D19)),Saisie!K32)</f>
      </c>
      <c r="G19" s="15" t="e">
        <f>E19+(Saisie!D33*D19*Saisie!$J$9)</f>
        <v>#VALUE!</v>
      </c>
      <c r="H19" s="16" t="s">
        <v>19</v>
      </c>
      <c r="I19" s="15" t="e">
        <f>E19+(Saisie!D33*D19*Saisie!$J$9)+(Saisie!E33*Saisie!$J$9)</f>
        <v>#VALUE!</v>
      </c>
      <c r="K19" s="15" t="e">
        <f>I19-Saisie!G33</f>
        <v>#VALUE!</v>
      </c>
    </row>
    <row r="20" spans="1:11" ht="12.75">
      <c r="A20" s="27">
        <f>IF(Saisie!B34&lt;&gt;"",Saisie!B34,"")</f>
      </c>
      <c r="B20" s="18">
        <v>13</v>
      </c>
      <c r="C20" s="27">
        <f>IF(Saisie!J34&lt;&gt;"",Saisie!J34,"")</f>
      </c>
      <c r="D20" s="100" t="e">
        <f>IF(Saisie!F34&lt;&gt;"",Saisie!F34,Saisie!$J$16)</f>
        <v>#N/A</v>
      </c>
      <c r="E20" s="15">
        <f>IF(Saisie!B34&lt;&gt;0,+Saisie!K33+(SQRT((Saisie!K33/Saisie!B34)^2+(Saisie!$J$9^2))*((2*PI()/360)*Saisie!C34*Saisie!B34*D20)),Saisie!K33)</f>
      </c>
      <c r="G20" s="15" t="e">
        <f>E20+(Saisie!D34*D20*Saisie!$J$9)</f>
        <v>#VALUE!</v>
      </c>
      <c r="H20" s="16" t="s">
        <v>19</v>
      </c>
      <c r="I20" s="15" t="e">
        <f>E20+(Saisie!D34*D20*Saisie!$J$9)+(Saisie!E34*Saisie!$J$9)</f>
        <v>#VALUE!</v>
      </c>
      <c r="K20" s="15" t="e">
        <f>I20-Saisie!G34</f>
        <v>#VALUE!</v>
      </c>
    </row>
    <row r="21" spans="1:11" ht="12.75">
      <c r="A21" s="27">
        <f>IF(Saisie!B35&lt;&gt;"",Saisie!B35,"")</f>
      </c>
      <c r="B21" s="18">
        <v>14</v>
      </c>
      <c r="C21" s="27">
        <f>IF(Saisie!J35&lt;&gt;"",Saisie!J35,"")</f>
      </c>
      <c r="D21" s="100" t="e">
        <f>IF(Saisie!F35&lt;&gt;"",Saisie!F35,Saisie!$J$16)</f>
        <v>#N/A</v>
      </c>
      <c r="E21" s="15">
        <f>IF(Saisie!B35&lt;&gt;0,+Saisie!K34+(SQRT((Saisie!K34/Saisie!B35)^2+(Saisie!$J$9^2))*((2*PI()/360)*Saisie!C35*Saisie!B35*D21)),Saisie!K34)</f>
      </c>
      <c r="G21" s="15" t="e">
        <f>E21+(Saisie!D35*D21*Saisie!$J$9)</f>
        <v>#VALUE!</v>
      </c>
      <c r="H21" s="16" t="s">
        <v>19</v>
      </c>
      <c r="I21" s="15" t="e">
        <f>E21+(Saisie!D35*D21*Saisie!$J$9)+(Saisie!E35*Saisie!$J$9)</f>
        <v>#VALUE!</v>
      </c>
      <c r="K21" s="15" t="e">
        <f>I21-Saisie!G35</f>
        <v>#VALUE!</v>
      </c>
    </row>
    <row r="22" spans="1:11" ht="12.75">
      <c r="A22" s="27">
        <f>IF(Saisie!B36&lt;&gt;"",Saisie!B36,"")</f>
      </c>
      <c r="B22" s="18">
        <v>15</v>
      </c>
      <c r="C22" s="27">
        <f>IF(Saisie!J36&lt;&gt;"",Saisie!J36,"")</f>
      </c>
      <c r="D22" s="100" t="e">
        <f>IF(Saisie!F36&lt;&gt;"",Saisie!F36,Saisie!$J$16)</f>
        <v>#N/A</v>
      </c>
      <c r="E22" s="15">
        <f>IF(Saisie!B36&lt;&gt;0,+Saisie!K35+(SQRT((Saisie!K35/Saisie!B36)^2+(Saisie!$J$9^2))*((2*PI()/360)*Saisie!C36*Saisie!B36*D22)),Saisie!K35)</f>
      </c>
      <c r="G22" s="15" t="e">
        <f>E22+(Saisie!D36*D22*Saisie!$J$9)</f>
        <v>#VALUE!</v>
      </c>
      <c r="H22" s="16" t="s">
        <v>19</v>
      </c>
      <c r="I22" s="15" t="e">
        <f>E22+(Saisie!D36*D22*Saisie!$J$9)+(Saisie!E36*Saisie!$J$9)</f>
        <v>#VALUE!</v>
      </c>
      <c r="K22" s="15" t="e">
        <f>I22-Saisie!G36</f>
        <v>#VALUE!</v>
      </c>
    </row>
    <row r="23" spans="1:11" ht="12.75">
      <c r="A23" s="27">
        <f>IF(Saisie!B37&lt;&gt;"",Saisie!B37,"")</f>
      </c>
      <c r="B23" s="18">
        <v>16</v>
      </c>
      <c r="C23" s="27">
        <f>IF(Saisie!J37&lt;&gt;"",Saisie!J37,"")</f>
      </c>
      <c r="D23" s="100" t="e">
        <f>IF(Saisie!F37&lt;&gt;"",Saisie!F37,Saisie!$J$16)</f>
        <v>#N/A</v>
      </c>
      <c r="E23" s="15">
        <f>IF(Saisie!B37&lt;&gt;0,+Saisie!K36+(SQRT((Saisie!K36/Saisie!B37)^2+(Saisie!$J$9^2))*((2*PI()/360)*Saisie!C37*Saisie!B37*D23)),Saisie!K36)</f>
      </c>
      <c r="G23" s="15" t="e">
        <f>E23+(Saisie!D37*D23*Saisie!$J$9)</f>
        <v>#VALUE!</v>
      </c>
      <c r="H23" s="16" t="s">
        <v>19</v>
      </c>
      <c r="I23" s="15" t="e">
        <f>E23+(Saisie!D37*D23*Saisie!$J$9)+(Saisie!E37*Saisie!$J$9)</f>
        <v>#VALUE!</v>
      </c>
      <c r="K23" s="15" t="e">
        <f>I23-Saisie!G37</f>
        <v>#VALUE!</v>
      </c>
    </row>
    <row r="24" spans="1:11" ht="12.75">
      <c r="A24" s="27">
        <f>IF(Saisie!B38&lt;&gt;"",Saisie!B38,"")</f>
      </c>
      <c r="B24" s="18">
        <v>17</v>
      </c>
      <c r="C24" s="27">
        <f>IF(Saisie!J38&lt;&gt;"",Saisie!J38,"")</f>
      </c>
      <c r="D24" s="100" t="e">
        <f>IF(Saisie!F38&lt;&gt;"",Saisie!F38,Saisie!$J$16)</f>
        <v>#N/A</v>
      </c>
      <c r="E24" s="15">
        <f>IF(Saisie!B38&lt;&gt;0,+Saisie!K37+(SQRT((Saisie!K37/Saisie!B38)^2+(Saisie!$J$9^2))*((2*PI()/360)*Saisie!C38*Saisie!B38*D24)),Saisie!K37)</f>
      </c>
      <c r="G24" s="15" t="e">
        <f>E24+(Saisie!D38*D24*Saisie!$J$9)</f>
        <v>#VALUE!</v>
      </c>
      <c r="H24" s="16" t="s">
        <v>19</v>
      </c>
      <c r="I24" s="15" t="e">
        <f>E24+(Saisie!D38*D24*Saisie!$J$9)+(Saisie!E38*Saisie!$J$9)</f>
        <v>#VALUE!</v>
      </c>
      <c r="K24" s="15" t="e">
        <f>I24-Saisie!G38</f>
        <v>#VALUE!</v>
      </c>
    </row>
    <row r="25" spans="1:11" ht="12.75">
      <c r="A25" s="27">
        <f>IF(Saisie!B39&lt;&gt;"",Saisie!B39,"")</f>
      </c>
      <c r="B25" s="18">
        <v>18</v>
      </c>
      <c r="C25" s="27">
        <f>IF(Saisie!J39&lt;&gt;"",Saisie!J39,"")</f>
      </c>
      <c r="D25" s="100" t="e">
        <f>IF(Saisie!F39&lt;&gt;"",Saisie!F39,Saisie!$J$16)</f>
        <v>#N/A</v>
      </c>
      <c r="E25" s="15">
        <f>IF(Saisie!B39&lt;&gt;0,+Saisie!K38+(SQRT((Saisie!K38/Saisie!B39)^2+(Saisie!$J$9^2))*((2*PI()/360)*Saisie!C39*Saisie!B39*D25)),Saisie!K38)</f>
      </c>
      <c r="G25" s="15" t="e">
        <f>E25+(Saisie!D39*D25*Saisie!$J$9)</f>
        <v>#VALUE!</v>
      </c>
      <c r="H25" s="16" t="s">
        <v>19</v>
      </c>
      <c r="I25" s="15" t="e">
        <f>E25+(Saisie!D39*D25*Saisie!$J$9)+(Saisie!E39*Saisie!$J$9)</f>
        <v>#VALUE!</v>
      </c>
      <c r="K25" s="15" t="e">
        <f>I25-Saisie!G39</f>
        <v>#VALUE!</v>
      </c>
    </row>
    <row r="26" spans="1:11" ht="12.75">
      <c r="A26" s="27">
        <f>IF(Saisie!B40&lt;&gt;"",Saisie!B40,"")</f>
      </c>
      <c r="B26" s="18">
        <v>19</v>
      </c>
      <c r="C26" s="27">
        <f>IF(Saisie!J40&lt;&gt;"",Saisie!J40,"")</f>
      </c>
      <c r="D26" s="100" t="e">
        <f>IF(Saisie!F40&lt;&gt;"",Saisie!F40,Saisie!$J$16)</f>
        <v>#N/A</v>
      </c>
      <c r="E26" s="15">
        <f>IF(Saisie!B40&lt;&gt;0,+Saisie!K39+(SQRT((Saisie!K39/Saisie!B40)^2+(Saisie!$J$9^2))*((2*PI()/360)*Saisie!C40*Saisie!B40*D26)),Saisie!K39)</f>
      </c>
      <c r="G26" s="15" t="e">
        <f>E26+(Saisie!D40*D26*Saisie!$J$9)</f>
        <v>#VALUE!</v>
      </c>
      <c r="H26" s="16" t="s">
        <v>19</v>
      </c>
      <c r="I26" s="15" t="e">
        <f>E26+(Saisie!D40*D26*Saisie!$J$9)+(Saisie!E40*Saisie!$J$9)</f>
        <v>#VALUE!</v>
      </c>
      <c r="K26" s="15" t="e">
        <f>I26-Saisie!G40</f>
        <v>#VALUE!</v>
      </c>
    </row>
    <row r="27" spans="1:11" ht="12.75">
      <c r="A27" s="27">
        <f>IF(Saisie!B41&lt;&gt;"",Saisie!B41,"")</f>
      </c>
      <c r="B27" s="18">
        <v>20</v>
      </c>
      <c r="C27" s="27">
        <f>IF(Saisie!J41&lt;&gt;"",Saisie!J41,"")</f>
      </c>
      <c r="D27" s="100" t="e">
        <f>IF(Saisie!F41&lt;&gt;"",Saisie!F41,Saisie!$J$16)</f>
        <v>#N/A</v>
      </c>
      <c r="E27" s="15">
        <f>IF(Saisie!B41&lt;&gt;0,+Saisie!K40+(SQRT((Saisie!K40/Saisie!B41)^2+(Saisie!$J$9^2))*((2*PI()/360)*Saisie!C41*Saisie!B41*D27)),Saisie!K40)</f>
      </c>
      <c r="G27" s="15" t="e">
        <f>E27+(Saisie!D41*D27*Saisie!$J$9)</f>
        <v>#VALUE!</v>
      </c>
      <c r="H27" s="16" t="s">
        <v>19</v>
      </c>
      <c r="I27" s="15" t="e">
        <f>E27+(Saisie!D41*D27*Saisie!$J$9)+(Saisie!E41*Saisie!$J$9)</f>
        <v>#VALUE!</v>
      </c>
      <c r="K27" s="15" t="e">
        <f>I27-Saisie!G41</f>
        <v>#VALUE!</v>
      </c>
    </row>
    <row r="29" ht="12.75">
      <c r="A29" s="51" t="s">
        <v>20</v>
      </c>
    </row>
    <row r="31" spans="1:15" ht="15">
      <c r="A31" s="51" t="s">
        <v>21</v>
      </c>
      <c r="F31" s="51" t="s">
        <v>17</v>
      </c>
      <c r="J31" s="47" t="s">
        <v>22</v>
      </c>
      <c r="N31"/>
      <c r="O31" s="24"/>
    </row>
    <row r="32" spans="2:4" ht="12.75">
      <c r="B32" s="27" t="s">
        <v>78</v>
      </c>
      <c r="C32" s="27" t="s">
        <v>25</v>
      </c>
      <c r="D32" s="27" t="s">
        <v>85</v>
      </c>
    </row>
    <row r="33" spans="2:14" ht="15">
      <c r="B33" s="27" t="s">
        <v>79</v>
      </c>
      <c r="G33" s="27" t="s">
        <v>23</v>
      </c>
      <c r="H33" s="27" t="s">
        <v>24</v>
      </c>
      <c r="K33" s="27" t="s">
        <v>6</v>
      </c>
      <c r="N33"/>
    </row>
    <row r="34" spans="1:14" ht="15">
      <c r="A34" s="27">
        <v>0</v>
      </c>
      <c r="B34" s="27" t="e">
        <f>Saisie!$J$10*VLOOKUP(Saisie!$J$11,'Base de données'!$H$4:$J$5,2)</f>
        <v>#N/A</v>
      </c>
      <c r="C34" s="27" t="s">
        <v>80</v>
      </c>
      <c r="D34" s="27">
        <v>3</v>
      </c>
      <c r="F34" s="27">
        <v>1</v>
      </c>
      <c r="G34" s="33">
        <v>1000</v>
      </c>
      <c r="H34" s="33">
        <v>150</v>
      </c>
      <c r="J34"/>
      <c r="K34" s="24">
        <f>MIN(Saisie!B22:B41)</f>
        <v>0</v>
      </c>
      <c r="N34"/>
    </row>
    <row r="35" spans="1:14" ht="15">
      <c r="A35" s="27">
        <v>1</v>
      </c>
      <c r="B35" s="27" t="e">
        <f>Saisie!$J$10*VLOOKUP(Saisie!$J$11,'Base de données'!$H$4:$J$5,3)</f>
        <v>#N/A</v>
      </c>
      <c r="C35" s="27" t="s">
        <v>81</v>
      </c>
      <c r="D35" s="27">
        <v>3</v>
      </c>
      <c r="F35" s="27">
        <v>2</v>
      </c>
      <c r="G35" s="33">
        <v>1000</v>
      </c>
      <c r="H35" s="33">
        <v>150</v>
      </c>
      <c r="J35" s="27" t="s">
        <v>5</v>
      </c>
      <c r="K35" s="27">
        <f>DMAX(A7:B27,B7,K33:K34)</f>
        <v>0</v>
      </c>
      <c r="M35"/>
      <c r="N35"/>
    </row>
    <row r="36" spans="1:8" ht="12.75">
      <c r="A36" s="27">
        <v>2</v>
      </c>
      <c r="B36" s="18">
        <f>Saisie!J12*5</f>
        <v>0</v>
      </c>
      <c r="C36" s="27" t="s">
        <v>82</v>
      </c>
      <c r="D36" s="27">
        <v>1</v>
      </c>
      <c r="F36" s="27">
        <v>3</v>
      </c>
      <c r="G36" s="33">
        <v>1500</v>
      </c>
      <c r="H36" s="33">
        <v>250</v>
      </c>
    </row>
    <row r="37" spans="1:11" ht="12.75">
      <c r="A37" s="27">
        <v>3</v>
      </c>
      <c r="B37" s="18" t="e">
        <f>Saisie!$J$12*VLOOKUP(Saisie!$J$12,'Base de données'!$H$10:$I$11,2)</f>
        <v>#N/A</v>
      </c>
      <c r="C37" s="27" t="s">
        <v>84</v>
      </c>
      <c r="D37" s="27">
        <v>1</v>
      </c>
      <c r="F37" s="27">
        <v>4</v>
      </c>
      <c r="G37" s="48">
        <v>1800</v>
      </c>
      <c r="H37" s="48">
        <v>300</v>
      </c>
      <c r="J37" s="27" t="s">
        <v>25</v>
      </c>
      <c r="K37" s="27" t="e">
        <f>VLOOKUP('Base de données'!D9,'Base de données'!B9:C10,2)</f>
        <v>#N/A</v>
      </c>
    </row>
    <row r="38" spans="1:11" ht="12.75">
      <c r="A38" s="27">
        <v>4</v>
      </c>
      <c r="B38" s="18">
        <f>Saisie!$J$12*50</f>
        <v>0</v>
      </c>
      <c r="C38" s="33" t="s">
        <v>83</v>
      </c>
      <c r="D38" s="27">
        <v>1</v>
      </c>
      <c r="K38" s="27" t="e">
        <f>VLOOKUP('Base de données'!D15,'Base de données'!B15:C16,2)</f>
        <v>#N/A</v>
      </c>
    </row>
    <row r="39" ht="12.75">
      <c r="K39" s="27" t="e">
        <f>K37&amp;"-"&amp;K38</f>
        <v>#N/A</v>
      </c>
    </row>
    <row r="40" spans="1:7" ht="12.75">
      <c r="A40" s="27" t="s">
        <v>26</v>
      </c>
      <c r="B40" s="27">
        <f>IF(AND('Base de données'!D28=1,'Base de données'!D12=1),0,'Base de données'!D28)</f>
        <v>0</v>
      </c>
      <c r="F40" s="27" t="s">
        <v>27</v>
      </c>
      <c r="G40" s="27">
        <f>'Base de données'!D18</f>
        <v>0</v>
      </c>
    </row>
    <row r="41" spans="1:11" ht="12.75">
      <c r="A41" s="27" t="s">
        <v>77</v>
      </c>
      <c r="F41" s="27" t="s">
        <v>28</v>
      </c>
      <c r="G41" s="27">
        <f>'Base de données'!D27</f>
        <v>0</v>
      </c>
      <c r="J41" s="27" t="s">
        <v>29</v>
      </c>
      <c r="K41" s="27" t="e">
        <f>VLOOKUP(K39,'Base de données'!H17:L20,'Base de données'!D4+1)*'Base de données'!D24</f>
        <v>#N/A</v>
      </c>
    </row>
    <row r="42" spans="1:7" ht="15">
      <c r="A42" s="27" t="s">
        <v>30</v>
      </c>
      <c r="B42" s="27" t="e">
        <f>IF(K38&lt;&gt;"Triphasé",VLOOKUP(B40,A34:B38,2),IF(B40&lt;=1,'Base de données'!D15*VLOOKUP(B40,A34:B38,2),VLOOKUP(B40,A34:B38,2)))</f>
        <v>#N/A</v>
      </c>
      <c r="F42"/>
      <c r="G42"/>
    </row>
    <row r="43" spans="1:11" ht="15">
      <c r="A43"/>
      <c r="B43"/>
      <c r="G43" s="27" t="s">
        <v>17</v>
      </c>
      <c r="K43" s="27" t="e">
        <f>VLOOKUP(K39,'Base de données'!H17:L20,'Base de données'!D4+1)</f>
        <v>#N/A</v>
      </c>
    </row>
    <row r="44" ht="12.75">
      <c r="G44" s="27">
        <f>MAX(Saisie!J22:J41)</f>
        <v>0</v>
      </c>
    </row>
    <row r="45" spans="6:7" ht="12.75">
      <c r="F45" s="27" t="s">
        <v>5</v>
      </c>
      <c r="G45" s="27">
        <f>DMAX(A7:C27,B7,G43:G44)</f>
        <v>0</v>
      </c>
    </row>
    <row r="47" spans="6:7" ht="12.75">
      <c r="F47" s="27" t="s">
        <v>31</v>
      </c>
      <c r="G47" s="27" t="e">
        <f>VLOOKUP(G40,F34:H37,IF(G41=6,3,2))</f>
        <v>#N/A</v>
      </c>
    </row>
    <row r="49" spans="7:15" ht="12.75">
      <c r="G49" s="50"/>
      <c r="H49" s="45"/>
      <c r="I49" s="45"/>
      <c r="J49" s="45"/>
      <c r="K49" s="45"/>
      <c r="L49" s="45"/>
      <c r="M49" s="45"/>
      <c r="N49" s="45"/>
      <c r="O49" s="45"/>
    </row>
    <row r="50" spans="1:15" ht="12.75">
      <c r="A50" s="47" t="s">
        <v>32</v>
      </c>
      <c r="G50" s="33"/>
      <c r="H50" s="33"/>
      <c r="I50" s="33"/>
      <c r="J50" s="33"/>
      <c r="K50" s="45"/>
      <c r="L50" s="45"/>
      <c r="M50" s="45"/>
      <c r="N50" s="45"/>
      <c r="O50" s="45"/>
    </row>
    <row r="51" spans="7:15" ht="12.75">
      <c r="G51" s="33"/>
      <c r="H51" s="33"/>
      <c r="I51" s="33"/>
      <c r="K51" s="33"/>
      <c r="M51" s="33"/>
      <c r="O51" s="33"/>
    </row>
    <row r="52" spans="1:15" ht="15">
      <c r="A52" s="27" t="s">
        <v>33</v>
      </c>
      <c r="B52">
        <f>IF(OR('Base de données'!D18=3,'Base de données'!D18=4),3,'Base de données'!D18)</f>
        <v>0</v>
      </c>
      <c r="G52" s="33"/>
      <c r="H52" s="33"/>
      <c r="I52" s="33"/>
      <c r="K52" s="33"/>
      <c r="M52" s="33"/>
      <c r="O52" s="33"/>
    </row>
    <row r="53" spans="1:2" ht="12.75">
      <c r="A53" s="27" t="s">
        <v>34</v>
      </c>
      <c r="B53" s="27" t="e">
        <f>VLOOKUP('Base de données'!D27,'Base de données'!H27:N32,Calculs!B52*2)</f>
        <v>#N/A</v>
      </c>
    </row>
  </sheetData>
  <sheetProtection password="CF9D" sheet="1" objects="1" scenarios="1"/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R41"/>
  <sheetViews>
    <sheetView zoomScale="75" zoomScaleNormal="75" workbookViewId="0" topLeftCell="A1">
      <selection activeCell="B32" sqref="B32"/>
    </sheetView>
  </sheetViews>
  <sheetFormatPr defaultColWidth="11.5546875" defaultRowHeight="15"/>
  <cols>
    <col min="1" max="1" width="16.10546875" style="0" customWidth="1"/>
    <col min="8" max="8" width="10.77734375" style="0" customWidth="1"/>
  </cols>
  <sheetData>
    <row r="1" spans="1:12" ht="15.75">
      <c r="A1" t="s">
        <v>35</v>
      </c>
      <c r="D1" s="54" t="s">
        <v>90</v>
      </c>
      <c r="E1" s="130">
        <v>0</v>
      </c>
      <c r="H1" s="28" t="s">
        <v>36</v>
      </c>
      <c r="I1" s="2"/>
      <c r="J1" s="2"/>
      <c r="K1" s="2"/>
      <c r="L1" s="2"/>
    </row>
    <row r="2" spans="8:12" ht="15">
      <c r="H2" s="2"/>
      <c r="I2" s="2"/>
      <c r="J2" s="2"/>
      <c r="K2" s="2"/>
      <c r="L2" s="2"/>
    </row>
    <row r="3" spans="3:12" ht="15">
      <c r="C3" t="s">
        <v>37</v>
      </c>
      <c r="D3" t="s">
        <v>38</v>
      </c>
      <c r="H3" s="2" t="s">
        <v>39</v>
      </c>
      <c r="I3" s="2" t="s">
        <v>40</v>
      </c>
      <c r="J3" s="2" t="s">
        <v>41</v>
      </c>
      <c r="K3" s="2"/>
      <c r="L3" s="2"/>
    </row>
    <row r="4" spans="1:12" ht="15">
      <c r="A4" t="s">
        <v>42</v>
      </c>
      <c r="B4">
        <v>1</v>
      </c>
      <c r="C4" t="s">
        <v>43</v>
      </c>
      <c r="D4" s="131"/>
      <c r="H4" s="2">
        <v>1</v>
      </c>
      <c r="I4" s="2">
        <v>6</v>
      </c>
      <c r="J4" s="2">
        <v>3</v>
      </c>
      <c r="K4" s="2"/>
      <c r="L4" s="2"/>
    </row>
    <row r="5" spans="2:12" ht="15">
      <c r="B5">
        <v>2</v>
      </c>
      <c r="C5" t="s">
        <v>44</v>
      </c>
      <c r="D5" s="131"/>
      <c r="H5" s="2">
        <v>3</v>
      </c>
      <c r="I5" s="2">
        <v>4</v>
      </c>
      <c r="J5" s="2">
        <v>2</v>
      </c>
      <c r="K5" s="2"/>
      <c r="L5" s="2"/>
    </row>
    <row r="6" spans="2:12" ht="15">
      <c r="B6">
        <v>3</v>
      </c>
      <c r="C6" t="s">
        <v>45</v>
      </c>
      <c r="D6" s="131"/>
      <c r="H6" s="2"/>
      <c r="I6" s="2"/>
      <c r="J6" s="2"/>
      <c r="K6" s="2"/>
      <c r="L6" s="2"/>
    </row>
    <row r="7" spans="2:12" ht="15">
      <c r="B7">
        <v>4</v>
      </c>
      <c r="C7" t="s">
        <v>46</v>
      </c>
      <c r="D7" s="131"/>
      <c r="H7" s="2"/>
      <c r="I7" s="2"/>
      <c r="J7" s="2"/>
      <c r="K7" s="2"/>
      <c r="L7" s="2"/>
    </row>
    <row r="8" spans="4:17" ht="15.75">
      <c r="D8" s="131"/>
      <c r="H8" s="28" t="s">
        <v>47</v>
      </c>
      <c r="I8" s="2"/>
      <c r="J8" s="2"/>
      <c r="K8" s="2"/>
      <c r="L8" s="2"/>
      <c r="M8" s="2"/>
      <c r="N8" s="2"/>
      <c r="O8" s="2"/>
      <c r="P8" s="2"/>
      <c r="Q8" s="2"/>
    </row>
    <row r="9" spans="1:17" ht="15">
      <c r="A9" t="s">
        <v>48</v>
      </c>
      <c r="B9">
        <v>1</v>
      </c>
      <c r="C9" t="s">
        <v>49</v>
      </c>
      <c r="D9" s="131"/>
      <c r="H9" s="2" t="s">
        <v>50</v>
      </c>
      <c r="I9" s="2"/>
      <c r="J9" s="2"/>
      <c r="K9" s="2"/>
      <c r="L9" s="2"/>
      <c r="M9" s="2"/>
      <c r="N9" s="2"/>
      <c r="O9" s="2"/>
      <c r="P9" s="2"/>
      <c r="Q9" s="2"/>
    </row>
    <row r="10" spans="2:17" ht="15">
      <c r="B10">
        <v>2</v>
      </c>
      <c r="C10" t="s">
        <v>51</v>
      </c>
      <c r="D10" s="131"/>
      <c r="H10" s="2">
        <v>1</v>
      </c>
      <c r="I10" s="2">
        <v>20</v>
      </c>
      <c r="J10" s="2"/>
      <c r="K10" s="2"/>
      <c r="L10" s="2"/>
      <c r="M10" s="2"/>
      <c r="N10" s="2"/>
      <c r="O10" s="2"/>
      <c r="P10" s="2"/>
      <c r="Q10" s="2"/>
    </row>
    <row r="11" spans="4:17" ht="15">
      <c r="D11" s="131"/>
      <c r="H11" s="2">
        <v>35.1</v>
      </c>
      <c r="I11" s="2">
        <v>30</v>
      </c>
      <c r="J11" s="2"/>
      <c r="K11" s="2"/>
      <c r="L11" s="2"/>
      <c r="M11" s="2"/>
      <c r="N11" s="2"/>
      <c r="O11" s="2"/>
      <c r="P11" s="2"/>
      <c r="Q11" s="2"/>
    </row>
    <row r="12" spans="1:4" ht="15">
      <c r="A12" t="s">
        <v>52</v>
      </c>
      <c r="B12">
        <v>1</v>
      </c>
      <c r="C12" t="s">
        <v>40</v>
      </c>
      <c r="D12" s="131"/>
    </row>
    <row r="13" spans="2:4" ht="15">
      <c r="B13">
        <v>2</v>
      </c>
      <c r="C13" t="s">
        <v>53</v>
      </c>
      <c r="D13" s="131"/>
    </row>
    <row r="14" spans="4:12" ht="15.75">
      <c r="D14" s="131"/>
      <c r="H14" s="28" t="s">
        <v>54</v>
      </c>
      <c r="I14" s="2"/>
      <c r="J14" s="2"/>
      <c r="K14" s="2"/>
      <c r="L14" s="2"/>
    </row>
    <row r="15" spans="1:12" ht="15">
      <c r="A15" t="s">
        <v>0</v>
      </c>
      <c r="B15">
        <v>1</v>
      </c>
      <c r="C15" t="s">
        <v>55</v>
      </c>
      <c r="D15" s="131"/>
      <c r="H15" s="2"/>
      <c r="I15" s="2"/>
      <c r="J15" s="2"/>
      <c r="K15" s="2"/>
      <c r="L15" s="2"/>
    </row>
    <row r="16" spans="2:12" ht="15">
      <c r="B16">
        <v>2</v>
      </c>
      <c r="C16" t="s">
        <v>56</v>
      </c>
      <c r="D16" s="131"/>
      <c r="H16" s="2" t="s">
        <v>39</v>
      </c>
      <c r="I16" s="2" t="s">
        <v>57</v>
      </c>
      <c r="J16" s="2" t="s">
        <v>58</v>
      </c>
      <c r="K16" s="2" t="s">
        <v>59</v>
      </c>
      <c r="L16" s="2" t="s">
        <v>46</v>
      </c>
    </row>
    <row r="17" spans="4:18" ht="15">
      <c r="D17" s="131"/>
      <c r="H17" s="2" t="s">
        <v>60</v>
      </c>
      <c r="I17" s="2">
        <v>12</v>
      </c>
      <c r="J17" s="2">
        <v>10</v>
      </c>
      <c r="K17" s="2">
        <v>15</v>
      </c>
      <c r="L17" s="2">
        <v>12</v>
      </c>
      <c r="N17" s="2"/>
      <c r="O17" s="2"/>
      <c r="P17" s="2"/>
      <c r="Q17" s="2"/>
      <c r="R17" s="2"/>
    </row>
    <row r="18" spans="1:18" ht="15">
      <c r="A18" t="s">
        <v>61</v>
      </c>
      <c r="B18">
        <v>1</v>
      </c>
      <c r="C18" t="s">
        <v>62</v>
      </c>
      <c r="D18" s="131"/>
      <c r="H18" s="2" t="s">
        <v>63</v>
      </c>
      <c r="I18" s="2">
        <v>10</v>
      </c>
      <c r="J18" s="2">
        <v>8</v>
      </c>
      <c r="K18" s="2">
        <v>12</v>
      </c>
      <c r="L18" s="2">
        <v>10</v>
      </c>
      <c r="N18" s="2"/>
      <c r="O18" s="2"/>
      <c r="P18" s="2"/>
      <c r="Q18" s="2"/>
      <c r="R18" s="2"/>
    </row>
    <row r="19" spans="2:18" ht="15">
      <c r="B19">
        <v>2</v>
      </c>
      <c r="C19" t="s">
        <v>64</v>
      </c>
      <c r="D19" s="131"/>
      <c r="H19" s="2" t="s">
        <v>65</v>
      </c>
      <c r="I19" s="2">
        <v>20</v>
      </c>
      <c r="J19" s="2">
        <v>20</v>
      </c>
      <c r="K19" s="2">
        <v>20</v>
      </c>
      <c r="L19" s="2">
        <v>20</v>
      </c>
      <c r="N19" s="2"/>
      <c r="O19" s="2"/>
      <c r="P19" s="2"/>
      <c r="Q19" s="2"/>
      <c r="R19" s="2"/>
    </row>
    <row r="20" spans="2:18" ht="15">
      <c r="B20">
        <v>3</v>
      </c>
      <c r="C20" t="s">
        <v>66</v>
      </c>
      <c r="D20" s="131"/>
      <c r="H20" s="2" t="s">
        <v>67</v>
      </c>
      <c r="I20" s="2">
        <v>15</v>
      </c>
      <c r="J20" s="2">
        <v>15</v>
      </c>
      <c r="K20" s="2">
        <v>15</v>
      </c>
      <c r="L20" s="2">
        <v>15</v>
      </c>
      <c r="N20" s="2"/>
      <c r="O20" s="2"/>
      <c r="P20" s="2"/>
      <c r="Q20" s="2"/>
      <c r="R20" s="2"/>
    </row>
    <row r="21" spans="2:12" ht="15">
      <c r="B21">
        <v>4</v>
      </c>
      <c r="C21" t="s">
        <v>68</v>
      </c>
      <c r="D21" s="131"/>
      <c r="H21" s="2"/>
      <c r="I21" s="2"/>
      <c r="J21" s="2"/>
      <c r="K21" s="2"/>
      <c r="L21" s="2"/>
    </row>
    <row r="22" spans="1:4" ht="15">
      <c r="A22" t="s">
        <v>69</v>
      </c>
      <c r="D22" s="131"/>
    </row>
    <row r="23" spans="1:8" ht="15.75">
      <c r="A23" t="s">
        <v>1</v>
      </c>
      <c r="D23" s="131"/>
      <c r="H23" s="28" t="s">
        <v>32</v>
      </c>
    </row>
    <row r="24" spans="1:4" ht="15">
      <c r="A24" t="s">
        <v>70</v>
      </c>
      <c r="D24" s="131"/>
    </row>
    <row r="25" spans="4:14" ht="15">
      <c r="D25" s="131"/>
      <c r="I25" s="55" t="s">
        <v>71</v>
      </c>
      <c r="J25" s="56"/>
      <c r="K25" s="55" t="s">
        <v>72</v>
      </c>
      <c r="L25" s="56"/>
      <c r="M25" s="55" t="s">
        <v>47</v>
      </c>
      <c r="N25" s="57"/>
    </row>
    <row r="26" spans="4:14" ht="15">
      <c r="D26" s="131"/>
      <c r="I26" s="66" t="s">
        <v>73</v>
      </c>
      <c r="J26" s="67" t="s">
        <v>74</v>
      </c>
      <c r="K26" s="66" t="s">
        <v>73</v>
      </c>
      <c r="L26" s="67" t="s">
        <v>74</v>
      </c>
      <c r="M26" s="66" t="s">
        <v>73</v>
      </c>
      <c r="N26" s="68" t="s">
        <v>74</v>
      </c>
    </row>
    <row r="27" spans="1:15" ht="15">
      <c r="A27" t="s">
        <v>75</v>
      </c>
      <c r="D27" s="131"/>
      <c r="G27" s="54" t="str">
        <f>IF(E1=0,"Verlegung in Kunststoffrohr mit Fett",IF(E1=1,"Pose en tube synthétique avec graisse",IF(E1=2,"Laying in synthetic pipe with grease","")))</f>
        <v>Verlegung in Kunststoffrohr mit Fett</v>
      </c>
      <c r="H27" s="54">
        <v>1</v>
      </c>
      <c r="I27" s="58">
        <v>0.15</v>
      </c>
      <c r="J27" s="59">
        <v>0.25</v>
      </c>
      <c r="K27" s="62" t="s">
        <v>76</v>
      </c>
      <c r="L27" s="61" t="s">
        <v>76</v>
      </c>
      <c r="M27" s="58">
        <v>0.15</v>
      </c>
      <c r="N27" s="60">
        <v>0.25</v>
      </c>
      <c r="O27" s="89" t="str">
        <f>IF(E1=0,"Verlegung in Kunststoffrohr mit Fett",IF(E1=1,"Pose en tube synthétique avec graisse",IF(E1=2,"Laying in synthetic pipe with grease","")))</f>
        <v>Verlegung in Kunststoffrohr mit Fett</v>
      </c>
    </row>
    <row r="28" spans="1:15" ht="15">
      <c r="A28" t="s">
        <v>21</v>
      </c>
      <c r="D28" s="131"/>
      <c r="G28" s="54" t="str">
        <f>IF(E1=0,"Verlegung in Kunststoffrohr mit Wasser",IF(E1=1,"Pose en tube synthétique avec eau",IF(E1=2,"Laying in synthetic pipe with Water","")))</f>
        <v>Verlegung in Kunststoffrohr mit Wasser</v>
      </c>
      <c r="H28" s="54">
        <v>2</v>
      </c>
      <c r="I28" s="58">
        <v>0.15</v>
      </c>
      <c r="J28" s="59">
        <v>0.25</v>
      </c>
      <c r="K28" s="62" t="s">
        <v>76</v>
      </c>
      <c r="L28" s="61" t="s">
        <v>76</v>
      </c>
      <c r="M28" s="58">
        <v>0.2</v>
      </c>
      <c r="N28" s="60">
        <v>0.3</v>
      </c>
      <c r="O28" s="89" t="str">
        <f>IF(E1=0,"Verlegung in Kunststoffrohr mit Wasser",IF(E1=1,"Pose en tube synthétique avec eau",IF(E1=2,"Laying in synthetic pipe with Water","")))</f>
        <v>Verlegung in Kunststoffrohr mit Wasser</v>
      </c>
    </row>
    <row r="29" spans="7:15" ht="15">
      <c r="G29" s="54" t="str">
        <f>IF(E1=0,"Verlegung in Kunststoffrohr mit Fett und Wasser",IF(E1=1,"Pose en tube synthétique avec graisse et eau",IF(E1=2,"laying in synthetic pipe with grease and water","")))</f>
        <v>Verlegung in Kunststoffrohr mit Fett und Wasser</v>
      </c>
      <c r="H29" s="54">
        <v>3</v>
      </c>
      <c r="I29" s="58">
        <v>0.1</v>
      </c>
      <c r="J29" s="59">
        <v>0.2</v>
      </c>
      <c r="K29" s="62" t="s">
        <v>76</v>
      </c>
      <c r="L29" s="61" t="s">
        <v>76</v>
      </c>
      <c r="M29" s="58">
        <v>0.1</v>
      </c>
      <c r="N29" s="60">
        <v>0.2</v>
      </c>
      <c r="O29" s="89" t="str">
        <f>IF(E1=0,"Verlegung in Kunststoffrohr mit Fett und Wasser",IF(E1=1,"Pose en tube synthétique avec graisse et eau",IF(E1=2,"Laying in synthetic pipe with grease and water","")))</f>
        <v>Verlegung in Kunststoffrohr mit Fett und Wasser</v>
      </c>
    </row>
    <row r="30" spans="7:15" ht="15">
      <c r="G30" s="54" t="str">
        <f>IF(E1=0,"Verlegung in Kunststoffrohr, trocken",IF(E1=1,"Pose en tube synthétique à sec",IF(E1=2,"Laying in synthetic pipe, dry","")))</f>
        <v>Verlegung in Kunststoffrohr, trocken</v>
      </c>
      <c r="H30" s="54">
        <v>4</v>
      </c>
      <c r="I30" s="62" t="str">
        <f>IF(E1=0,"Klebt",IF(E1=1,"Collage",IF(E1=2,"Glue on","")))</f>
        <v>Klebt</v>
      </c>
      <c r="J30" s="61" t="str">
        <f>IF(E1=0,"Klebt",IF(E1=1,"Collage",IF(E1=2,"Glue on","")))</f>
        <v>Klebt</v>
      </c>
      <c r="K30" s="58">
        <v>0.4</v>
      </c>
      <c r="L30" s="59">
        <v>0.6</v>
      </c>
      <c r="M30" s="58">
        <v>0.25</v>
      </c>
      <c r="N30" s="60">
        <v>0.35</v>
      </c>
      <c r="O30" s="89" t="str">
        <f>IF(E1=0,"Verlegung in Kunststoffrohr, trocken",IF(E1=1,"Pose en tube synthétique à sec",IF(E1=2,"Laying in synthetic pipe, dry","")))</f>
        <v>Verlegung in Kunststoffrohr, trocken</v>
      </c>
    </row>
    <row r="31" spans="7:15" ht="15">
      <c r="G31" s="54" t="str">
        <f>IF(E1=0,"Verleguung in Cementrohr",IF(E1=1,"Pose en tube ciement",IF(E1=2,"Laying in cement pipe","")))</f>
        <v>Verleguung in Cementrohr</v>
      </c>
      <c r="H31" s="54">
        <v>5</v>
      </c>
      <c r="I31" s="58">
        <v>0.4</v>
      </c>
      <c r="J31" s="59">
        <v>0.6</v>
      </c>
      <c r="K31" s="58">
        <v>0.5</v>
      </c>
      <c r="L31" s="59">
        <v>0.7</v>
      </c>
      <c r="M31" s="58">
        <v>0.4</v>
      </c>
      <c r="N31" s="60">
        <v>0.5</v>
      </c>
      <c r="O31" s="89" t="str">
        <f>IF(E1=0,"Verlegung in Cementrohr",IF(E1=1,"Pose en tube ciement",IF(E1=2,"Laying in cement pipe","")))</f>
        <v>Verlegung in Cementrohr</v>
      </c>
    </row>
    <row r="32" spans="7:15" ht="15">
      <c r="G32" s="54" t="str">
        <f>IF(E1=0,"Verlegung auf Rollen",IF(E1=1,"Pose sur galets",IF(E1=2,"Laying on rollers","")))</f>
        <v>Verlegung auf Rollen</v>
      </c>
      <c r="H32" s="54">
        <v>6</v>
      </c>
      <c r="I32" s="65">
        <v>0.2</v>
      </c>
      <c r="J32" s="63">
        <v>0.3</v>
      </c>
      <c r="K32" s="65">
        <v>0.25</v>
      </c>
      <c r="L32" s="63">
        <v>0.35</v>
      </c>
      <c r="M32" s="65">
        <v>0.15</v>
      </c>
      <c r="N32" s="64">
        <v>0.25</v>
      </c>
      <c r="O32" s="89" t="str">
        <f>IF(E1=0,"Verlegung auf Rollen",IF(E1=1,"Pose sur galets",IF(E1=2,"Laying on rollers","")))</f>
        <v>Verlegung auf Rollen</v>
      </c>
    </row>
    <row r="36" ht="15.75">
      <c r="H36" s="28" t="s">
        <v>21</v>
      </c>
    </row>
    <row r="38" spans="8:9" ht="15">
      <c r="H38">
        <v>1</v>
      </c>
      <c r="I38" t="str">
        <f>IF(E1=0,"Zug auf dem Leiter",IF(E1=1,"Traction sur le conducteur",IF(E1=2,"Traction on the conductor","")))</f>
        <v>Zug auf dem Leiter</v>
      </c>
    </row>
    <row r="39" spans="8:9" ht="15">
      <c r="H39">
        <v>2</v>
      </c>
      <c r="I39" t="str">
        <f>IF(E1=0,"Zug auf dem Aussenmantel",IF(E1=1,"Traction sur la gaine",IF(E1=2,"Traction on the sheath","")))</f>
        <v>Zug auf dem Aussenmantel</v>
      </c>
    </row>
    <row r="40" spans="8:9" ht="15">
      <c r="H40">
        <v>3</v>
      </c>
      <c r="I40" t="str">
        <f>IF(E1=0,"Zug auf einfacher Armierung",IF(E1=1,"Traction sur armure simple",IF(E1=2,"Traction on single steel tape armour","")))</f>
        <v>Zug auf einfacher Armierung</v>
      </c>
    </row>
    <row r="41" spans="8:9" ht="15">
      <c r="H41">
        <v>4</v>
      </c>
      <c r="I41" t="str">
        <f>IF(E1=0,"Zug auf doppel Armierung",IF(E1=1,"Traction sur armure double",IF(E1=2,"Traction on double steel tape armour","")))</f>
        <v>Zug auf doppel Armierung</v>
      </c>
    </row>
  </sheetData>
  <sheetProtection password="CF9D" sheet="1" objects="1" scenarios="1"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Calculs des efforts de pose d'un câble</dc:title>
  <dc:subject/>
  <dc:creator>CBi</dc:creator>
  <cp:keywords/>
  <dc:description/>
  <cp:lastModifiedBy>Régis Schmitt</cp:lastModifiedBy>
  <cp:lastPrinted>2002-08-21T08:56:29Z</cp:lastPrinted>
  <dcterms:created xsi:type="dcterms:W3CDTF">1998-10-22T07:56:25Z</dcterms:created>
  <dcterms:modified xsi:type="dcterms:W3CDTF">2004-08-04T09:41:33Z</dcterms:modified>
  <cp:category/>
  <cp:version/>
  <cp:contentType/>
  <cp:contentStatus/>
</cp:coreProperties>
</file>